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0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30" windowWidth="9690" windowHeight="5985" tabRatio="942" firstSheet="33" activeTab="36"/>
  </bookViews>
  <sheets>
    <sheet name="Presupuesto Ingresos" sheetId="39" r:id="rId1"/>
    <sheet name="Ingresos Reales" sheetId="51" r:id="rId2"/>
    <sheet name="Analisis Ingr." sheetId="1" r:id="rId3"/>
    <sheet name="Impuestos" sheetId="3" r:id="rId4"/>
    <sheet name="Derechos" sheetId="4" r:id="rId5"/>
    <sheet name="Contribuciones" sheetId="46" r:id="rId6"/>
    <sheet name="Productos" sheetId="6" r:id="rId7"/>
    <sheet name="Aprovechamientos" sheetId="7" r:id="rId8"/>
    <sheet name="Participaciones" sheetId="8" r:id="rId9"/>
    <sheet name="FISM" sheetId="9" r:id="rId10"/>
    <sheet name="FFM" sheetId="10" r:id="rId11"/>
    <sheet name="F. Desc." sheetId="36" r:id="rId12"/>
    <sheet name="Otras Aport." sheetId="35" r:id="rId13"/>
    <sheet name="Vecinos" sheetId="12" r:id="rId14"/>
    <sheet name="Financiamientos" sheetId="27" r:id="rId15"/>
    <sheet name="Otros" sheetId="13" r:id="rId16"/>
    <sheet name="Presupuesto Egresos" sheetId="38" r:id="rId17"/>
    <sheet name="Egresos Reales" sheetId="52" r:id="rId18"/>
    <sheet name="Modificaciones" sheetId="14" r:id="rId19"/>
    <sheet name="Análisis Egresos" sheetId="54" r:id="rId20"/>
    <sheet name="Admón Púb." sheetId="16" r:id="rId21"/>
    <sheet name="Serv. Com." sheetId="17" r:id="rId22"/>
    <sheet name="Des. Soc" sheetId="18" r:id="rId23"/>
    <sheet name="Mtto." sheetId="20" r:id="rId24"/>
    <sheet name="Adquisiciones" sheetId="21" r:id="rId25"/>
    <sheet name="Des. Urb" sheetId="23" r:id="rId26"/>
    <sheet name="FISM Egresos" sheetId="26" r:id="rId27"/>
    <sheet name="FAFM Egresos " sheetId="28" r:id="rId28"/>
    <sheet name="Obligaciones Financieras" sheetId="37" r:id="rId29"/>
    <sheet name="Otros Egresos" sheetId="29" r:id="rId30"/>
    <sheet name="Ing y Egr" sheetId="34" r:id="rId31"/>
    <sheet name="Análisis Disp." sheetId="45" r:id="rId32"/>
    <sheet name="Hoja1" sheetId="55" r:id="rId33"/>
    <sheet name="Disp. Fondos Fijos" sheetId="42" r:id="rId34"/>
    <sheet name="Disp. Ctas. Banc" sheetId="43" r:id="rId35"/>
    <sheet name="Disp. Ctas. por Cobrar" sheetId="48" r:id="rId36"/>
    <sheet name="Disp. Ctas. por Pagar" sheetId="47" r:id="rId37"/>
    <sheet name="Resumen CXC" sheetId="32" r:id="rId38"/>
    <sheet name="DEUDA" sheetId="40" r:id="rId39"/>
    <sheet name="INV. B.M." sheetId="30" r:id="rId40"/>
    <sheet name="INV B.I." sheetId="44" r:id="rId41"/>
    <sheet name="DES" sheetId="50" r:id="rId42"/>
    <sheet name="Hoja3" sheetId="61" r:id="rId43"/>
  </sheets>
  <externalReferences>
    <externalReference r:id="rId44"/>
    <externalReference r:id="rId45"/>
  </externalReferences>
  <definedNames>
    <definedName name="_xlnm.Print_Area" localSheetId="19">'Análisis Egresos'!$A$1:$F$40</definedName>
    <definedName name="_xlnm.Print_Area" localSheetId="2">'Analisis Ingr.'!$A$1:$F$34</definedName>
    <definedName name="_xlnm.Print_Area" localSheetId="4">Derechos!$A$1:$F$35</definedName>
    <definedName name="_xlnm.Print_Area" localSheetId="38">DEUDA!$A$1:$D$41</definedName>
    <definedName name="_xlnm.Print_Area" localSheetId="33">'Disp. Fondos Fijos'!$A$1:$D$82</definedName>
    <definedName name="_xlnm.Print_Area" localSheetId="3">Impuestos!$A$1:$F$23</definedName>
    <definedName name="_xlnm.Print_Area" localSheetId="1">'Ingresos Reales'!$A$1:$N$124</definedName>
    <definedName name="_xlnm.Print_Area" localSheetId="16">'Presupuesto Egresos'!$A$1:$N$152</definedName>
    <definedName name="_xlnm.Print_Area" localSheetId="0">'Presupuesto Ingresos'!$A$1:$N$123</definedName>
    <definedName name="_xlnm.Print_Area" localSheetId="6">Productos!$A$1:$F$33</definedName>
    <definedName name="_xlnm.Print_Titles" localSheetId="34">'Disp. Ctas. Banc'!$1:$8</definedName>
    <definedName name="_xlnm.Print_Titles" localSheetId="33">'Disp. Fondos Fijos'!$1:$7</definedName>
    <definedName name="_xlnm.Print_Titles" localSheetId="17">'Egresos Reales'!$1:$5</definedName>
    <definedName name="_xlnm.Print_Titles" localSheetId="30">'Ing y Egr'!$1:$5</definedName>
    <definedName name="_xlnm.Print_Titles" localSheetId="1">'Ingresos Reales'!$1:$5</definedName>
    <definedName name="_xlnm.Print_Titles" localSheetId="29">'Otros Egresos'!$1:$7</definedName>
    <definedName name="_xlnm.Print_Titles" localSheetId="16">'Presupuesto Egresos'!$1:$5</definedName>
    <definedName name="_xlnm.Print_Titles" localSheetId="0">'Presupuesto Ingresos'!$1:$5</definedName>
  </definedNames>
  <calcPr calcId="124519"/>
</workbook>
</file>

<file path=xl/calcChain.xml><?xml version="1.0" encoding="utf-8"?>
<calcChain xmlns="http://schemas.openxmlformats.org/spreadsheetml/2006/main">
  <c r="H18" i="45"/>
  <c r="F9" i="48"/>
  <c r="P278" i="61" l="1"/>
  <c r="P277"/>
  <c r="P276"/>
  <c r="P275"/>
  <c r="P274"/>
  <c r="P273"/>
  <c r="P272"/>
  <c r="P271"/>
  <c r="P270"/>
  <c r="P269"/>
  <c r="P267"/>
  <c r="P266"/>
  <c r="P265"/>
  <c r="P264"/>
  <c r="P263"/>
  <c r="P262"/>
  <c r="P261"/>
  <c r="P260"/>
  <c r="P259"/>
  <c r="P258"/>
  <c r="P257"/>
  <c r="P256"/>
  <c r="P255"/>
  <c r="P254"/>
  <c r="P253"/>
  <c r="P252"/>
  <c r="P251"/>
  <c r="P250"/>
  <c r="P249"/>
  <c r="P248"/>
  <c r="P247"/>
  <c r="P246"/>
  <c r="P245"/>
  <c r="P244"/>
  <c r="P243"/>
  <c r="P242"/>
  <c r="P241"/>
  <c r="P240"/>
  <c r="P239"/>
  <c r="P238"/>
  <c r="P237"/>
  <c r="P236"/>
  <c r="P235"/>
  <c r="P233"/>
  <c r="P231"/>
  <c r="P230"/>
  <c r="P229"/>
  <c r="P228"/>
  <c r="P227"/>
  <c r="P226"/>
  <c r="P225"/>
  <c r="P224"/>
  <c r="P223"/>
  <c r="P222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8"/>
  <c r="P97"/>
  <c r="P96"/>
  <c r="P95"/>
  <c r="P94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1"/>
  <c r="P20"/>
  <c r="P19"/>
  <c r="P18"/>
  <c r="P17"/>
  <c r="P16"/>
  <c r="P15"/>
  <c r="P14"/>
  <c r="P13"/>
  <c r="P12"/>
  <c r="P11"/>
  <c r="P10"/>
  <c r="P9"/>
  <c r="P8"/>
  <c r="P7"/>
  <c r="P6"/>
  <c r="P5"/>
  <c r="P268"/>
  <c r="P279"/>
  <c r="O279"/>
  <c r="O268"/>
  <c r="O234"/>
  <c r="O232"/>
  <c r="P232"/>
  <c r="O221"/>
  <c r="O174"/>
  <c r="O125"/>
  <c r="O99"/>
  <c r="O93"/>
  <c r="O43"/>
  <c r="O22"/>
  <c r="O282" l="1"/>
  <c r="N279" l="1"/>
  <c r="N268"/>
  <c r="N234"/>
  <c r="N232"/>
  <c r="N221"/>
  <c r="N174"/>
  <c r="N125"/>
  <c r="N99"/>
  <c r="N93"/>
  <c r="N43"/>
  <c r="N22"/>
  <c r="N282" l="1"/>
  <c r="M268" l="1"/>
  <c r="L268"/>
  <c r="M279"/>
  <c r="M234"/>
  <c r="M232"/>
  <c r="M221"/>
  <c r="M174"/>
  <c r="M125"/>
  <c r="M99"/>
  <c r="M93"/>
  <c r="M43"/>
  <c r="M22"/>
  <c r="M282" l="1"/>
  <c r="L279" l="1"/>
  <c r="L234"/>
  <c r="L232"/>
  <c r="L221"/>
  <c r="L174"/>
  <c r="L125"/>
  <c r="L99"/>
  <c r="L93"/>
  <c r="L43"/>
  <c r="L22"/>
  <c r="L282" l="1"/>
  <c r="K279" l="1"/>
  <c r="K234"/>
  <c r="K232"/>
  <c r="K99"/>
  <c r="K125"/>
  <c r="K174"/>
  <c r="K221"/>
  <c r="K268"/>
  <c r="K93"/>
  <c r="K43"/>
  <c r="K22"/>
  <c r="K282" l="1"/>
  <c r="J174" l="1"/>
  <c r="G22" l="1"/>
  <c r="F22"/>
  <c r="E22"/>
  <c r="D22"/>
  <c r="H22"/>
  <c r="G279" l="1"/>
  <c r="G268"/>
  <c r="F93" l="1"/>
  <c r="E93"/>
  <c r="D93"/>
  <c r="D43" l="1"/>
  <c r="D99"/>
  <c r="D125"/>
  <c r="D174"/>
  <c r="D221"/>
  <c r="D232"/>
  <c r="D234"/>
  <c r="D268"/>
  <c r="D279"/>
  <c r="D282"/>
  <c r="J279" l="1"/>
  <c r="I279"/>
  <c r="H279"/>
  <c r="F279"/>
  <c r="E279"/>
  <c r="J268"/>
  <c r="I268"/>
  <c r="H268"/>
  <c r="F268"/>
  <c r="E268"/>
  <c r="P234"/>
  <c r="J234"/>
  <c r="I234"/>
  <c r="H234"/>
  <c r="G234"/>
  <c r="F234"/>
  <c r="E234"/>
  <c r="J232"/>
  <c r="I232"/>
  <c r="H232"/>
  <c r="G232"/>
  <c r="F232"/>
  <c r="E232"/>
  <c r="P221"/>
  <c r="J221"/>
  <c r="I221"/>
  <c r="H221"/>
  <c r="G221"/>
  <c r="F221"/>
  <c r="E221"/>
  <c r="P174"/>
  <c r="I174"/>
  <c r="H174"/>
  <c r="G174"/>
  <c r="F174"/>
  <c r="E174"/>
  <c r="P125"/>
  <c r="J125"/>
  <c r="I125"/>
  <c r="H125"/>
  <c r="G125"/>
  <c r="F125"/>
  <c r="E125"/>
  <c r="P99"/>
  <c r="J99"/>
  <c r="I99"/>
  <c r="H99"/>
  <c r="G99"/>
  <c r="F99"/>
  <c r="E99"/>
  <c r="P93"/>
  <c r="J93"/>
  <c r="I93"/>
  <c r="H93"/>
  <c r="G93"/>
  <c r="P43"/>
  <c r="J43"/>
  <c r="I43"/>
  <c r="H43"/>
  <c r="G43"/>
  <c r="F43"/>
  <c r="E43"/>
  <c r="P22"/>
  <c r="P282" s="1"/>
  <c r="J22"/>
  <c r="J282" s="1"/>
  <c r="I22"/>
  <c r="I282" s="1"/>
  <c r="H282"/>
  <c r="G282"/>
  <c r="F282"/>
  <c r="E282"/>
  <c r="E29" i="14"/>
  <c r="F29"/>
  <c r="B19"/>
  <c r="B17"/>
  <c r="B11"/>
  <c r="B9"/>
  <c r="M21" i="38" l="1"/>
  <c r="M129"/>
  <c r="M141"/>
  <c r="M138"/>
  <c r="M134"/>
  <c r="M151"/>
  <c r="M150"/>
  <c r="M149"/>
  <c r="M148"/>
  <c r="M144"/>
  <c r="M133"/>
  <c r="M145"/>
  <c r="M117"/>
  <c r="M125"/>
  <c r="M122"/>
  <c r="M139"/>
  <c r="M136"/>
  <c r="M116"/>
  <c r="M121"/>
  <c r="M124"/>
  <c r="M105"/>
  <c r="M100"/>
  <c r="M119"/>
  <c r="M88"/>
  <c r="M77"/>
  <c r="M69"/>
  <c r="M84"/>
  <c r="M97"/>
  <c r="M91"/>
  <c r="M64"/>
  <c r="M62"/>
  <c r="M61"/>
  <c r="M60"/>
  <c r="M57"/>
  <c r="M39"/>
  <c r="M36"/>
  <c r="M34"/>
  <c r="M33"/>
  <c r="M32"/>
  <c r="M31"/>
  <c r="M30"/>
  <c r="M27"/>
  <c r="M26"/>
  <c r="M25"/>
  <c r="M24"/>
  <c r="M23"/>
  <c r="M18"/>
  <c r="M15"/>
  <c r="M14"/>
  <c r="M13"/>
  <c r="M10"/>
  <c r="M9"/>
  <c r="M8"/>
  <c r="L144"/>
  <c r="C99" i="29" l="1"/>
  <c r="C97"/>
  <c r="C95"/>
  <c r="C93"/>
  <c r="C91"/>
  <c r="C87"/>
  <c r="C85"/>
  <c r="C83"/>
  <c r="C79"/>
  <c r="C77"/>
  <c r="C73"/>
  <c r="C71"/>
  <c r="C69"/>
  <c r="C65"/>
  <c r="C63"/>
  <c r="C61"/>
  <c r="C59"/>
  <c r="C55"/>
  <c r="C53"/>
  <c r="C51"/>
  <c r="C49"/>
  <c r="C47"/>
  <c r="C45"/>
  <c r="C43"/>
  <c r="C41"/>
  <c r="C39"/>
  <c r="C37"/>
  <c r="C35"/>
  <c r="C33"/>
  <c r="C31"/>
  <c r="C29"/>
  <c r="C27"/>
  <c r="C25"/>
  <c r="C23"/>
  <c r="C21"/>
  <c r="C19"/>
  <c r="C17"/>
  <c r="C15"/>
  <c r="C13"/>
  <c r="C11"/>
  <c r="C9"/>
  <c r="C17" i="37"/>
  <c r="C15"/>
  <c r="C13"/>
  <c r="C11"/>
  <c r="C9"/>
  <c r="B78" i="28"/>
  <c r="B76"/>
  <c r="B74"/>
  <c r="B72"/>
  <c r="B70"/>
  <c r="B68"/>
  <c r="B66"/>
  <c r="B64"/>
  <c r="B62"/>
  <c r="B58"/>
  <c r="B53"/>
  <c r="B51"/>
  <c r="B47"/>
  <c r="B45"/>
  <c r="B43"/>
  <c r="B41"/>
  <c r="B39"/>
  <c r="B37"/>
  <c r="B33"/>
  <c r="B31"/>
  <c r="B29"/>
  <c r="B25"/>
  <c r="B23"/>
  <c r="B21"/>
  <c r="B17"/>
  <c r="B15"/>
  <c r="B13"/>
  <c r="B11"/>
  <c r="B9"/>
  <c r="C31" i="26"/>
  <c r="C29"/>
  <c r="C27"/>
  <c r="C25"/>
  <c r="C23"/>
  <c r="C19"/>
  <c r="C17"/>
  <c r="C15"/>
  <c r="C13"/>
  <c r="C11"/>
  <c r="C9"/>
  <c r="C15" i="23"/>
  <c r="C13"/>
  <c r="C11"/>
  <c r="C9"/>
  <c r="C11" i="21"/>
  <c r="C9"/>
  <c r="C21" i="20"/>
  <c r="C19"/>
  <c r="C17"/>
  <c r="C15"/>
  <c r="C13"/>
  <c r="C11"/>
  <c r="C9"/>
  <c r="C21" i="18"/>
  <c r="C19"/>
  <c r="C17"/>
  <c r="C15"/>
  <c r="C13"/>
  <c r="C11"/>
  <c r="C9"/>
  <c r="C19" i="17"/>
  <c r="C17"/>
  <c r="C15"/>
  <c r="C13"/>
  <c r="C11"/>
  <c r="C9"/>
  <c r="C13" i="16"/>
  <c r="C11"/>
  <c r="C9"/>
  <c r="B26" i="54"/>
  <c r="B24"/>
  <c r="B22"/>
  <c r="B20"/>
  <c r="B18"/>
  <c r="B16"/>
  <c r="B14"/>
  <c r="B12"/>
  <c r="B10"/>
  <c r="B8"/>
  <c r="M104" i="52"/>
  <c r="M154" s="1"/>
  <c r="M100"/>
  <c r="M98"/>
  <c r="M63"/>
  <c r="M49"/>
  <c r="M42"/>
  <c r="M38"/>
  <c r="M29"/>
  <c r="M21"/>
  <c r="M20"/>
  <c r="M12"/>
  <c r="M7"/>
  <c r="B17" i="27"/>
  <c r="B15"/>
  <c r="B13"/>
  <c r="B11"/>
  <c r="B9"/>
  <c r="B69" i="35"/>
  <c r="B67"/>
  <c r="B65"/>
  <c r="B61"/>
  <c r="B59"/>
  <c r="B57"/>
  <c r="B55"/>
  <c r="B49"/>
  <c r="B47"/>
  <c r="B45"/>
  <c r="B39"/>
  <c r="B37"/>
  <c r="B35"/>
  <c r="B33"/>
  <c r="B31"/>
  <c r="B29"/>
  <c r="B19"/>
  <c r="B9"/>
  <c r="B17" i="10"/>
  <c r="B15"/>
  <c r="B13"/>
  <c r="B11"/>
  <c r="B9"/>
  <c r="B17" i="9"/>
  <c r="B15"/>
  <c r="B13"/>
  <c r="B11"/>
  <c r="B9"/>
  <c r="B25" i="8"/>
  <c r="B23"/>
  <c r="B21"/>
  <c r="B19"/>
  <c r="B17"/>
  <c r="B15"/>
  <c r="B13"/>
  <c r="B11"/>
  <c r="B9"/>
  <c r="B21" i="7"/>
  <c r="B19"/>
  <c r="B17"/>
  <c r="B15"/>
  <c r="B13"/>
  <c r="B11"/>
  <c r="B9"/>
  <c r="B29" i="6"/>
  <c r="B27"/>
  <c r="B25"/>
  <c r="B23"/>
  <c r="B21"/>
  <c r="B19"/>
  <c r="B17"/>
  <c r="B15"/>
  <c r="B13"/>
  <c r="B11"/>
  <c r="B9"/>
  <c r="B31" i="4"/>
  <c r="B29"/>
  <c r="B27"/>
  <c r="B25"/>
  <c r="B23"/>
  <c r="B21"/>
  <c r="B19"/>
  <c r="B17"/>
  <c r="B15"/>
  <c r="B13"/>
  <c r="B11"/>
  <c r="B9"/>
  <c r="B19" i="3"/>
  <c r="B17"/>
  <c r="B15"/>
  <c r="B13"/>
  <c r="B11"/>
  <c r="B9"/>
  <c r="B32" i="1"/>
  <c r="B30"/>
  <c r="B28"/>
  <c r="B26"/>
  <c r="B24"/>
  <c r="B22"/>
  <c r="B20"/>
  <c r="B18"/>
  <c r="B16"/>
  <c r="B14"/>
  <c r="B12"/>
  <c r="B10"/>
  <c r="B8"/>
  <c r="M114" i="51"/>
  <c r="M81"/>
  <c r="M72"/>
  <c r="M65"/>
  <c r="M55"/>
  <c r="M46"/>
  <c r="M33"/>
  <c r="M28"/>
  <c r="M14"/>
  <c r="M6"/>
  <c r="L21" i="52"/>
  <c r="K21"/>
  <c r="K7"/>
  <c r="K143" i="34"/>
  <c r="K142"/>
  <c r="K141"/>
  <c r="M118"/>
  <c r="L118"/>
  <c r="J118"/>
  <c r="I118"/>
  <c r="H118"/>
  <c r="G118"/>
  <c r="F118"/>
  <c r="E118"/>
  <c r="D118"/>
  <c r="C118"/>
  <c r="B118"/>
  <c r="K118"/>
  <c r="N109" i="51"/>
  <c r="C63" i="35" s="1"/>
  <c r="M124" i="51" l="1"/>
  <c r="N118" i="34"/>
  <c r="N145" i="52"/>
  <c r="D89" i="29" s="1"/>
  <c r="M282" i="34"/>
  <c r="L282"/>
  <c r="K282"/>
  <c r="J282"/>
  <c r="I282"/>
  <c r="H282"/>
  <c r="G282"/>
  <c r="F282"/>
  <c r="E282"/>
  <c r="D282"/>
  <c r="C282"/>
  <c r="B282"/>
  <c r="N282" s="1"/>
  <c r="J104" i="52"/>
  <c r="J98"/>
  <c r="J63"/>
  <c r="J49"/>
  <c r="J42"/>
  <c r="J38"/>
  <c r="J29"/>
  <c r="J21"/>
  <c r="J20"/>
  <c r="J12"/>
  <c r="J7"/>
  <c r="J154"/>
  <c r="J114" i="51"/>
  <c r="J81"/>
  <c r="J72"/>
  <c r="J65"/>
  <c r="J55"/>
  <c r="J46"/>
  <c r="J33"/>
  <c r="J28"/>
  <c r="J14"/>
  <c r="J6"/>
  <c r="J124" l="1"/>
  <c r="J289" i="34" l="1"/>
  <c r="J288"/>
  <c r="J287"/>
  <c r="J286"/>
  <c r="J285"/>
  <c r="J284"/>
  <c r="J283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90" s="1"/>
  <c r="J239"/>
  <c r="J238"/>
  <c r="J237"/>
  <c r="J236"/>
  <c r="J235"/>
  <c r="J240" s="1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233" s="1"/>
  <c r="J194"/>
  <c r="J193"/>
  <c r="J192"/>
  <c r="J191"/>
  <c r="J190"/>
  <c r="J189"/>
  <c r="J188"/>
  <c r="J187"/>
  <c r="J186"/>
  <c r="J185"/>
  <c r="J184"/>
  <c r="J183"/>
  <c r="J182"/>
  <c r="J195" s="1"/>
  <c r="J179"/>
  <c r="J178"/>
  <c r="J177"/>
  <c r="J176"/>
  <c r="J180" s="1"/>
  <c r="J173"/>
  <c r="J172"/>
  <c r="J174" s="1"/>
  <c r="J169"/>
  <c r="J168"/>
  <c r="J167"/>
  <c r="J166"/>
  <c r="J165"/>
  <c r="J164"/>
  <c r="J163"/>
  <c r="J170" s="1"/>
  <c r="J160"/>
  <c r="J159"/>
  <c r="J158"/>
  <c r="J157"/>
  <c r="J156"/>
  <c r="J155"/>
  <c r="J154"/>
  <c r="J161" s="1"/>
  <c r="J151"/>
  <c r="J150"/>
  <c r="J149"/>
  <c r="J148"/>
  <c r="J147"/>
  <c r="J146"/>
  <c r="J152" s="1"/>
  <c r="J143"/>
  <c r="J142"/>
  <c r="J141"/>
  <c r="J144" s="1"/>
  <c r="J133"/>
  <c r="J134" s="1"/>
  <c r="J130"/>
  <c r="J129"/>
  <c r="J128"/>
  <c r="J127"/>
  <c r="J126"/>
  <c r="J131" s="1"/>
  <c r="J123"/>
  <c r="J124" s="1"/>
  <c r="J120"/>
  <c r="J119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121" s="1"/>
  <c r="J88"/>
  <c r="J89" s="1"/>
  <c r="J85"/>
  <c r="J84"/>
  <c r="J83"/>
  <c r="J82"/>
  <c r="J81"/>
  <c r="J80"/>
  <c r="J86" s="1"/>
  <c r="J77"/>
  <c r="J76"/>
  <c r="J75"/>
  <c r="J74"/>
  <c r="J73"/>
  <c r="J72"/>
  <c r="J78" s="1"/>
  <c r="J69"/>
  <c r="J68"/>
  <c r="J67"/>
  <c r="J66"/>
  <c r="J65"/>
  <c r="J64"/>
  <c r="J63"/>
  <c r="J62"/>
  <c r="J61"/>
  <c r="J70" s="1"/>
  <c r="J57"/>
  <c r="J56"/>
  <c r="J55"/>
  <c r="J54"/>
  <c r="J53"/>
  <c r="J52"/>
  <c r="J51"/>
  <c r="J58" s="1"/>
  <c r="J48"/>
  <c r="J47"/>
  <c r="J46"/>
  <c r="J45"/>
  <c r="J44"/>
  <c r="J43"/>
  <c r="J42"/>
  <c r="J41"/>
  <c r="J40"/>
  <c r="J39"/>
  <c r="J38"/>
  <c r="J49" s="1"/>
  <c r="J35"/>
  <c r="J34"/>
  <c r="J33"/>
  <c r="J36" s="1"/>
  <c r="J30"/>
  <c r="J29"/>
  <c r="J28"/>
  <c r="J27"/>
  <c r="J26"/>
  <c r="J25"/>
  <c r="J24"/>
  <c r="J23"/>
  <c r="J22"/>
  <c r="J21"/>
  <c r="J20"/>
  <c r="J19"/>
  <c r="J31" s="1"/>
  <c r="J16"/>
  <c r="J15"/>
  <c r="J14"/>
  <c r="J13"/>
  <c r="J12"/>
  <c r="J11"/>
  <c r="J17" s="1"/>
  <c r="M113"/>
  <c r="L113"/>
  <c r="K113"/>
  <c r="I113"/>
  <c r="H113"/>
  <c r="G113"/>
  <c r="F113"/>
  <c r="E113"/>
  <c r="D113"/>
  <c r="C113"/>
  <c r="B113"/>
  <c r="N113" s="1"/>
  <c r="N104" i="39"/>
  <c r="D53" i="35" s="1"/>
  <c r="N104" i="51"/>
  <c r="C53" i="35" s="1"/>
  <c r="M278" i="34"/>
  <c r="L278"/>
  <c r="K278"/>
  <c r="I278"/>
  <c r="H278"/>
  <c r="G278"/>
  <c r="F278"/>
  <c r="E278"/>
  <c r="D278"/>
  <c r="C278"/>
  <c r="B278"/>
  <c r="N278" s="1"/>
  <c r="M275"/>
  <c r="L275"/>
  <c r="K275"/>
  <c r="I275"/>
  <c r="H275"/>
  <c r="G275"/>
  <c r="F275"/>
  <c r="E275"/>
  <c r="D275"/>
  <c r="C275"/>
  <c r="B275"/>
  <c r="N275" s="1"/>
  <c r="N141" i="38"/>
  <c r="E81" i="29" s="1"/>
  <c r="N141" i="52"/>
  <c r="D81" i="29" s="1"/>
  <c r="N138" i="38"/>
  <c r="E75" i="29" s="1"/>
  <c r="N138" i="52"/>
  <c r="D75" i="29" s="1"/>
  <c r="M271" i="34"/>
  <c r="L271"/>
  <c r="K271"/>
  <c r="I271"/>
  <c r="H271"/>
  <c r="G271"/>
  <c r="F271"/>
  <c r="E271"/>
  <c r="D271"/>
  <c r="C271"/>
  <c r="B271"/>
  <c r="N271" s="1"/>
  <c r="N134" i="38"/>
  <c r="E67" i="29" s="1"/>
  <c r="N134" i="52"/>
  <c r="D67" i="29" s="1"/>
  <c r="I21" i="52"/>
  <c r="E53" i="35" l="1"/>
  <c r="F67" i="29"/>
  <c r="F75"/>
  <c r="F81"/>
  <c r="J136" i="34"/>
  <c r="J291"/>
  <c r="H289"/>
  <c r="H288"/>
  <c r="H287"/>
  <c r="H286"/>
  <c r="H285"/>
  <c r="H284"/>
  <c r="H283"/>
  <c r="H281"/>
  <c r="H280"/>
  <c r="H279"/>
  <c r="H277"/>
  <c r="H276"/>
  <c r="H274"/>
  <c r="H273"/>
  <c r="H272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90" s="1"/>
  <c r="H239"/>
  <c r="H238"/>
  <c r="H237"/>
  <c r="H236"/>
  <c r="H235"/>
  <c r="H240" s="1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233" s="1"/>
  <c r="H194"/>
  <c r="H193"/>
  <c r="H192"/>
  <c r="H191"/>
  <c r="H190"/>
  <c r="H189"/>
  <c r="H188"/>
  <c r="H187"/>
  <c r="H186"/>
  <c r="H185"/>
  <c r="H184"/>
  <c r="H183"/>
  <c r="H182"/>
  <c r="H195" s="1"/>
  <c r="H179"/>
  <c r="H178"/>
  <c r="H177"/>
  <c r="H176"/>
  <c r="H180" s="1"/>
  <c r="H173"/>
  <c r="H172"/>
  <c r="H174" s="1"/>
  <c r="H169"/>
  <c r="H168"/>
  <c r="H167"/>
  <c r="H166"/>
  <c r="H165"/>
  <c r="H164"/>
  <c r="H163"/>
  <c r="H170" s="1"/>
  <c r="H160"/>
  <c r="H159"/>
  <c r="H158"/>
  <c r="H157"/>
  <c r="H156"/>
  <c r="H155"/>
  <c r="H154"/>
  <c r="H161" s="1"/>
  <c r="H151"/>
  <c r="H150"/>
  <c r="H149"/>
  <c r="H148"/>
  <c r="H147"/>
  <c r="H146"/>
  <c r="H152" s="1"/>
  <c r="H143"/>
  <c r="H142"/>
  <c r="H141"/>
  <c r="H144" s="1"/>
  <c r="H133"/>
  <c r="H134" s="1"/>
  <c r="H130"/>
  <c r="H129"/>
  <c r="H128"/>
  <c r="H127"/>
  <c r="H126"/>
  <c r="H131" s="1"/>
  <c r="H123"/>
  <c r="H124" s="1"/>
  <c r="H120"/>
  <c r="H119"/>
  <c r="H117"/>
  <c r="H116"/>
  <c r="H115"/>
  <c r="H114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121" s="1"/>
  <c r="H88"/>
  <c r="H89" s="1"/>
  <c r="H85"/>
  <c r="H84"/>
  <c r="H83"/>
  <c r="H82"/>
  <c r="H81"/>
  <c r="H80"/>
  <c r="H86" s="1"/>
  <c r="H77"/>
  <c r="H76"/>
  <c r="H75"/>
  <c r="H74"/>
  <c r="H73"/>
  <c r="H72"/>
  <c r="H78" s="1"/>
  <c r="H69"/>
  <c r="H68"/>
  <c r="H67"/>
  <c r="H66"/>
  <c r="H65"/>
  <c r="H64"/>
  <c r="H63"/>
  <c r="H62"/>
  <c r="H61"/>
  <c r="H70" s="1"/>
  <c r="H57"/>
  <c r="H56"/>
  <c r="H55"/>
  <c r="H54"/>
  <c r="H53"/>
  <c r="H52"/>
  <c r="H51"/>
  <c r="H58" s="1"/>
  <c r="H48"/>
  <c r="H47"/>
  <c r="H46"/>
  <c r="H45"/>
  <c r="H44"/>
  <c r="H43"/>
  <c r="H42"/>
  <c r="H41"/>
  <c r="H40"/>
  <c r="H39"/>
  <c r="H38"/>
  <c r="H49" s="1"/>
  <c r="H35"/>
  <c r="H34"/>
  <c r="H33"/>
  <c r="H36" s="1"/>
  <c r="H30"/>
  <c r="H29"/>
  <c r="H28"/>
  <c r="H27"/>
  <c r="H26"/>
  <c r="H25"/>
  <c r="H24"/>
  <c r="H23"/>
  <c r="H22"/>
  <c r="H21"/>
  <c r="H20"/>
  <c r="H19"/>
  <c r="H31" s="1"/>
  <c r="H16"/>
  <c r="H15"/>
  <c r="H14"/>
  <c r="H13"/>
  <c r="H12"/>
  <c r="H11"/>
  <c r="H17" s="1"/>
  <c r="N151" i="38"/>
  <c r="N150"/>
  <c r="N149"/>
  <c r="B289" i="34"/>
  <c r="B288"/>
  <c r="M289"/>
  <c r="L289"/>
  <c r="K289"/>
  <c r="I289"/>
  <c r="G289"/>
  <c r="F289"/>
  <c r="E289"/>
  <c r="D289"/>
  <c r="C289"/>
  <c r="N289"/>
  <c r="M288"/>
  <c r="L288"/>
  <c r="K288"/>
  <c r="I288"/>
  <c r="G288"/>
  <c r="F288"/>
  <c r="E288"/>
  <c r="D288"/>
  <c r="C288"/>
  <c r="N288"/>
  <c r="M287"/>
  <c r="L287"/>
  <c r="K287"/>
  <c r="I287"/>
  <c r="G287"/>
  <c r="F287"/>
  <c r="E287"/>
  <c r="D287"/>
  <c r="C287"/>
  <c r="B287"/>
  <c r="N287" s="1"/>
  <c r="M286"/>
  <c r="L286"/>
  <c r="K286"/>
  <c r="I286"/>
  <c r="G286"/>
  <c r="F286"/>
  <c r="E286"/>
  <c r="D286"/>
  <c r="C286"/>
  <c r="B286"/>
  <c r="N286" s="1"/>
  <c r="M285"/>
  <c r="L285"/>
  <c r="K285"/>
  <c r="I285"/>
  <c r="G285"/>
  <c r="F285"/>
  <c r="E285"/>
  <c r="D285"/>
  <c r="C285"/>
  <c r="B285"/>
  <c r="N285" s="1"/>
  <c r="M284"/>
  <c r="L284"/>
  <c r="K284"/>
  <c r="I284"/>
  <c r="G284"/>
  <c r="F284"/>
  <c r="E284"/>
  <c r="D284"/>
  <c r="C284"/>
  <c r="B284"/>
  <c r="N284" s="1"/>
  <c r="M283"/>
  <c r="L283"/>
  <c r="K283"/>
  <c r="I283"/>
  <c r="G283"/>
  <c r="F283"/>
  <c r="E283"/>
  <c r="D283"/>
  <c r="C283"/>
  <c r="B283"/>
  <c r="N283" s="1"/>
  <c r="M281"/>
  <c r="L281"/>
  <c r="K281"/>
  <c r="I281"/>
  <c r="G281"/>
  <c r="F281"/>
  <c r="E281"/>
  <c r="D281"/>
  <c r="C281"/>
  <c r="B281"/>
  <c r="N281" s="1"/>
  <c r="M280"/>
  <c r="L280"/>
  <c r="K280"/>
  <c r="I280"/>
  <c r="G280"/>
  <c r="F280"/>
  <c r="E280"/>
  <c r="D280"/>
  <c r="C280"/>
  <c r="B280"/>
  <c r="N280" s="1"/>
  <c r="M279"/>
  <c r="L279"/>
  <c r="K279"/>
  <c r="I279"/>
  <c r="G279"/>
  <c r="F279"/>
  <c r="E279"/>
  <c r="D279"/>
  <c r="C279"/>
  <c r="B279"/>
  <c r="N279" s="1"/>
  <c r="M277"/>
  <c r="L277"/>
  <c r="K277"/>
  <c r="I277"/>
  <c r="G277"/>
  <c r="F277"/>
  <c r="E277"/>
  <c r="D277"/>
  <c r="C277"/>
  <c r="B277"/>
  <c r="N277" s="1"/>
  <c r="M276"/>
  <c r="L276"/>
  <c r="K276"/>
  <c r="I276"/>
  <c r="G276"/>
  <c r="F276"/>
  <c r="E276"/>
  <c r="D276"/>
  <c r="C276"/>
  <c r="B276"/>
  <c r="N276" s="1"/>
  <c r="M274"/>
  <c r="L274"/>
  <c r="K274"/>
  <c r="I274"/>
  <c r="G274"/>
  <c r="F274"/>
  <c r="E274"/>
  <c r="D274"/>
  <c r="C274"/>
  <c r="B274"/>
  <c r="N274" s="1"/>
  <c r="M273"/>
  <c r="L273"/>
  <c r="K273"/>
  <c r="I273"/>
  <c r="G273"/>
  <c r="F273"/>
  <c r="E273"/>
  <c r="D273"/>
  <c r="C273"/>
  <c r="B273"/>
  <c r="N273" s="1"/>
  <c r="M272"/>
  <c r="L272"/>
  <c r="K272"/>
  <c r="I272"/>
  <c r="G272"/>
  <c r="F272"/>
  <c r="E272"/>
  <c r="D272"/>
  <c r="C272"/>
  <c r="B272"/>
  <c r="N272" s="1"/>
  <c r="M270"/>
  <c r="L270"/>
  <c r="K270"/>
  <c r="I270"/>
  <c r="G270"/>
  <c r="F270"/>
  <c r="E270"/>
  <c r="D270"/>
  <c r="C270"/>
  <c r="B270"/>
  <c r="N270" s="1"/>
  <c r="M269"/>
  <c r="L269"/>
  <c r="K269"/>
  <c r="I269"/>
  <c r="G269"/>
  <c r="F269"/>
  <c r="E269"/>
  <c r="D269"/>
  <c r="C269"/>
  <c r="B269"/>
  <c r="N269" s="1"/>
  <c r="M268"/>
  <c r="L268"/>
  <c r="K268"/>
  <c r="I268"/>
  <c r="G268"/>
  <c r="F268"/>
  <c r="E268"/>
  <c r="D268"/>
  <c r="C268"/>
  <c r="B268"/>
  <c r="N268" s="1"/>
  <c r="M267"/>
  <c r="L267"/>
  <c r="K267"/>
  <c r="I267"/>
  <c r="G267"/>
  <c r="F267"/>
  <c r="E267"/>
  <c r="D267"/>
  <c r="C267"/>
  <c r="B267"/>
  <c r="N267" s="1"/>
  <c r="M266"/>
  <c r="L266"/>
  <c r="K266"/>
  <c r="I266"/>
  <c r="G266"/>
  <c r="F266"/>
  <c r="E266"/>
  <c r="D266"/>
  <c r="C266"/>
  <c r="B266"/>
  <c r="N266" s="1"/>
  <c r="M265"/>
  <c r="L265"/>
  <c r="K265"/>
  <c r="I265"/>
  <c r="G265"/>
  <c r="F265"/>
  <c r="D265"/>
  <c r="C265"/>
  <c r="B265"/>
  <c r="M264"/>
  <c r="L264"/>
  <c r="K264"/>
  <c r="I264"/>
  <c r="G264"/>
  <c r="F264"/>
  <c r="E264"/>
  <c r="D264"/>
  <c r="C264"/>
  <c r="B264"/>
  <c r="N264" s="1"/>
  <c r="M263"/>
  <c r="L263"/>
  <c r="K263"/>
  <c r="I263"/>
  <c r="G263"/>
  <c r="F263"/>
  <c r="E263"/>
  <c r="D263"/>
  <c r="C263"/>
  <c r="B263"/>
  <c r="N263" s="1"/>
  <c r="M262"/>
  <c r="L262"/>
  <c r="K262"/>
  <c r="I262"/>
  <c r="G262"/>
  <c r="F262"/>
  <c r="E262"/>
  <c r="D262"/>
  <c r="C262"/>
  <c r="B262"/>
  <c r="N262" s="1"/>
  <c r="M261"/>
  <c r="L261"/>
  <c r="K261"/>
  <c r="I261"/>
  <c r="G261"/>
  <c r="F261"/>
  <c r="E261"/>
  <c r="D261"/>
  <c r="C261"/>
  <c r="B261"/>
  <c r="N261" s="1"/>
  <c r="M260"/>
  <c r="L260"/>
  <c r="K260"/>
  <c r="I260"/>
  <c r="G260"/>
  <c r="F260"/>
  <c r="E260"/>
  <c r="D260"/>
  <c r="C260"/>
  <c r="B260"/>
  <c r="N260" s="1"/>
  <c r="M259"/>
  <c r="L259"/>
  <c r="K259"/>
  <c r="I259"/>
  <c r="G259"/>
  <c r="F259"/>
  <c r="E259"/>
  <c r="D259"/>
  <c r="C259"/>
  <c r="B259"/>
  <c r="N259" s="1"/>
  <c r="M258"/>
  <c r="L258"/>
  <c r="K258"/>
  <c r="I258"/>
  <c r="G258"/>
  <c r="F258"/>
  <c r="E258"/>
  <c r="D258"/>
  <c r="C258"/>
  <c r="B258"/>
  <c r="N258" s="1"/>
  <c r="M257"/>
  <c r="L257"/>
  <c r="K257"/>
  <c r="I257"/>
  <c r="G257"/>
  <c r="F257"/>
  <c r="E257"/>
  <c r="D257"/>
  <c r="C257"/>
  <c r="B257"/>
  <c r="N257" s="1"/>
  <c r="M256"/>
  <c r="L256"/>
  <c r="K256"/>
  <c r="I256"/>
  <c r="G256"/>
  <c r="F256"/>
  <c r="E256"/>
  <c r="D256"/>
  <c r="C256"/>
  <c r="B256"/>
  <c r="N256" s="1"/>
  <c r="M255"/>
  <c r="L255"/>
  <c r="K255"/>
  <c r="I255"/>
  <c r="G255"/>
  <c r="F255"/>
  <c r="E255"/>
  <c r="D255"/>
  <c r="C255"/>
  <c r="B255"/>
  <c r="N255" s="1"/>
  <c r="M254"/>
  <c r="L254"/>
  <c r="K254"/>
  <c r="I254"/>
  <c r="G254"/>
  <c r="F254"/>
  <c r="E254"/>
  <c r="D254"/>
  <c r="C254"/>
  <c r="B254"/>
  <c r="N254" s="1"/>
  <c r="M253"/>
  <c r="L253"/>
  <c r="K253"/>
  <c r="I253"/>
  <c r="G253"/>
  <c r="F253"/>
  <c r="E253"/>
  <c r="D253"/>
  <c r="C253"/>
  <c r="B253"/>
  <c r="N253" s="1"/>
  <c r="M252"/>
  <c r="L252"/>
  <c r="K252"/>
  <c r="I252"/>
  <c r="G252"/>
  <c r="F252"/>
  <c r="E252"/>
  <c r="D252"/>
  <c r="C252"/>
  <c r="B252"/>
  <c r="N252" s="1"/>
  <c r="M251"/>
  <c r="L251"/>
  <c r="K251"/>
  <c r="I251"/>
  <c r="G251"/>
  <c r="F251"/>
  <c r="E251"/>
  <c r="D251"/>
  <c r="C251"/>
  <c r="B251"/>
  <c r="N251" s="1"/>
  <c r="M250"/>
  <c r="L250"/>
  <c r="K250"/>
  <c r="I250"/>
  <c r="G250"/>
  <c r="F250"/>
  <c r="E250"/>
  <c r="D250"/>
  <c r="C250"/>
  <c r="B250"/>
  <c r="N250" s="1"/>
  <c r="M249"/>
  <c r="L249"/>
  <c r="K249"/>
  <c r="I249"/>
  <c r="G249"/>
  <c r="F249"/>
  <c r="E249"/>
  <c r="D249"/>
  <c r="C249"/>
  <c r="B249"/>
  <c r="N249" s="1"/>
  <c r="M248"/>
  <c r="L248"/>
  <c r="K248"/>
  <c r="I248"/>
  <c r="G248"/>
  <c r="F248"/>
  <c r="E248"/>
  <c r="D248"/>
  <c r="C248"/>
  <c r="B248"/>
  <c r="N248" s="1"/>
  <c r="M247"/>
  <c r="L247"/>
  <c r="K247"/>
  <c r="I247"/>
  <c r="G247"/>
  <c r="F247"/>
  <c r="E247"/>
  <c r="D247"/>
  <c r="C247"/>
  <c r="B247"/>
  <c r="N247" s="1"/>
  <c r="M246"/>
  <c r="L246"/>
  <c r="K246"/>
  <c r="I246"/>
  <c r="G246"/>
  <c r="F246"/>
  <c r="E246"/>
  <c r="D246"/>
  <c r="C246"/>
  <c r="B246"/>
  <c r="N246" s="1"/>
  <c r="M245"/>
  <c r="L245"/>
  <c r="K245"/>
  <c r="I245"/>
  <c r="G245"/>
  <c r="F245"/>
  <c r="E245"/>
  <c r="D245"/>
  <c r="C245"/>
  <c r="B245"/>
  <c r="N245" s="1"/>
  <c r="M244"/>
  <c r="L244"/>
  <c r="K244"/>
  <c r="I244"/>
  <c r="G244"/>
  <c r="F244"/>
  <c r="E244"/>
  <c r="D244"/>
  <c r="C244"/>
  <c r="B244"/>
  <c r="N244" s="1"/>
  <c r="M243"/>
  <c r="L243"/>
  <c r="K243"/>
  <c r="I243"/>
  <c r="G243"/>
  <c r="F243"/>
  <c r="E243"/>
  <c r="D243"/>
  <c r="C243"/>
  <c r="B243"/>
  <c r="N243" s="1"/>
  <c r="E101" i="29"/>
  <c r="E99"/>
  <c r="H136" i="34" l="1"/>
  <c r="H291"/>
  <c r="N152" i="52"/>
  <c r="D103" i="29" s="1"/>
  <c r="N151" i="52"/>
  <c r="N150"/>
  <c r="D99" i="29" s="1"/>
  <c r="N129" i="38"/>
  <c r="E57" i="29" s="1"/>
  <c r="N129" i="52"/>
  <c r="D57" i="29" s="1"/>
  <c r="E128" i="52"/>
  <c r="E265" i="34" s="1"/>
  <c r="N265" s="1"/>
  <c r="M85"/>
  <c r="L85"/>
  <c r="K85"/>
  <c r="I85"/>
  <c r="G85"/>
  <c r="F85"/>
  <c r="E85"/>
  <c r="D85"/>
  <c r="C85"/>
  <c r="B85"/>
  <c r="N85" s="1"/>
  <c r="L72" i="51"/>
  <c r="K72"/>
  <c r="I72"/>
  <c r="H72"/>
  <c r="G72"/>
  <c r="F72"/>
  <c r="E72"/>
  <c r="D72"/>
  <c r="D11" i="34"/>
  <c r="D12"/>
  <c r="D13"/>
  <c r="N78" i="51"/>
  <c r="C19" i="10" s="1"/>
  <c r="M223" i="34"/>
  <c r="L223"/>
  <c r="K223"/>
  <c r="I223"/>
  <c r="G223"/>
  <c r="F223"/>
  <c r="E223"/>
  <c r="D223"/>
  <c r="C223"/>
  <c r="B223"/>
  <c r="M219"/>
  <c r="L219"/>
  <c r="K219"/>
  <c r="I219"/>
  <c r="G219"/>
  <c r="F219"/>
  <c r="E219"/>
  <c r="D219"/>
  <c r="C219"/>
  <c r="B219"/>
  <c r="M212"/>
  <c r="L212"/>
  <c r="K212"/>
  <c r="I212"/>
  <c r="G212"/>
  <c r="F212"/>
  <c r="E212"/>
  <c r="D212"/>
  <c r="C212"/>
  <c r="B212"/>
  <c r="M208"/>
  <c r="L208"/>
  <c r="K208"/>
  <c r="I208"/>
  <c r="G208"/>
  <c r="F208"/>
  <c r="E208"/>
  <c r="D208"/>
  <c r="C208"/>
  <c r="B208"/>
  <c r="M204"/>
  <c r="L204"/>
  <c r="K204"/>
  <c r="I204"/>
  <c r="G204"/>
  <c r="F204"/>
  <c r="E204"/>
  <c r="D204"/>
  <c r="C204"/>
  <c r="B204"/>
  <c r="N97" i="52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C60" i="28"/>
  <c r="C49"/>
  <c r="C35"/>
  <c r="C27"/>
  <c r="C19"/>
  <c r="D101" i="29" l="1"/>
  <c r="F101" s="1"/>
  <c r="F57"/>
  <c r="N204" i="34"/>
  <c r="N208"/>
  <c r="N212"/>
  <c r="N219"/>
  <c r="N223"/>
  <c r="N97" i="38"/>
  <c r="N96"/>
  <c r="N95"/>
  <c r="N94"/>
  <c r="N93"/>
  <c r="N92"/>
  <c r="N91"/>
  <c r="N90"/>
  <c r="N89"/>
  <c r="N88"/>
  <c r="D60" i="28" s="1"/>
  <c r="E60" s="1"/>
  <c r="N87" i="38"/>
  <c r="N86"/>
  <c r="N85"/>
  <c r="N84"/>
  <c r="D49" i="28" s="1"/>
  <c r="E49" s="1"/>
  <c r="N83" i="38"/>
  <c r="N82"/>
  <c r="N81"/>
  <c r="N80"/>
  <c r="N79"/>
  <c r="N78"/>
  <c r="N77"/>
  <c r="D35" i="28" s="1"/>
  <c r="E35" s="1"/>
  <c r="N76" i="38"/>
  <c r="N75"/>
  <c r="N74"/>
  <c r="N73"/>
  <c r="D27" i="28" s="1"/>
  <c r="E27" s="1"/>
  <c r="N72" i="38"/>
  <c r="N71"/>
  <c r="N70"/>
  <c r="N69"/>
  <c r="D19" i="28" s="1"/>
  <c r="E19" s="1"/>
  <c r="N68" i="38"/>
  <c r="N67"/>
  <c r="N66"/>
  <c r="N65"/>
  <c r="M194" i="34"/>
  <c r="L194"/>
  <c r="K194"/>
  <c r="I194"/>
  <c r="G194"/>
  <c r="F194"/>
  <c r="E194"/>
  <c r="D194"/>
  <c r="C194"/>
  <c r="B194"/>
  <c r="M188"/>
  <c r="L188"/>
  <c r="K188"/>
  <c r="I188"/>
  <c r="G188"/>
  <c r="F188"/>
  <c r="E188"/>
  <c r="D188"/>
  <c r="C188"/>
  <c r="B188"/>
  <c r="N62" i="52"/>
  <c r="D33" i="26" s="1"/>
  <c r="N61" i="52"/>
  <c r="N60"/>
  <c r="N59"/>
  <c r="N58"/>
  <c r="N57"/>
  <c r="N56"/>
  <c r="D21" i="26" s="1"/>
  <c r="L49" i="52"/>
  <c r="K49"/>
  <c r="I49"/>
  <c r="H49"/>
  <c r="G49"/>
  <c r="F49"/>
  <c r="E49"/>
  <c r="D49"/>
  <c r="C49"/>
  <c r="B49"/>
  <c r="N56" i="38"/>
  <c r="E21" i="26" s="1"/>
  <c r="N62" i="38"/>
  <c r="E33" i="26" s="1"/>
  <c r="M49" i="38"/>
  <c r="L49"/>
  <c r="K49"/>
  <c r="J49"/>
  <c r="I49"/>
  <c r="H49"/>
  <c r="G49"/>
  <c r="F49"/>
  <c r="E49"/>
  <c r="D49"/>
  <c r="C49"/>
  <c r="B49"/>
  <c r="N78" i="39"/>
  <c r="D19" i="10" s="1"/>
  <c r="E19" s="1"/>
  <c r="M72" i="39"/>
  <c r="L72"/>
  <c r="K72"/>
  <c r="J72"/>
  <c r="I72"/>
  <c r="H72"/>
  <c r="G72"/>
  <c r="F72"/>
  <c r="E72"/>
  <c r="D72"/>
  <c r="C72"/>
  <c r="B72"/>
  <c r="M77" i="34"/>
  <c r="L77"/>
  <c r="K77"/>
  <c r="I77"/>
  <c r="G77"/>
  <c r="F77"/>
  <c r="E77"/>
  <c r="D77"/>
  <c r="C77"/>
  <c r="B77"/>
  <c r="B21" i="9"/>
  <c r="N71" i="39"/>
  <c r="D19" i="9" s="1"/>
  <c r="N71" i="51"/>
  <c r="C19" i="9" s="1"/>
  <c r="L65" i="51"/>
  <c r="K65"/>
  <c r="I65"/>
  <c r="H65"/>
  <c r="G65"/>
  <c r="F65"/>
  <c r="E65"/>
  <c r="D65"/>
  <c r="C65"/>
  <c r="B65"/>
  <c r="M65" i="39"/>
  <c r="L65"/>
  <c r="K65"/>
  <c r="J65"/>
  <c r="I65"/>
  <c r="H65"/>
  <c r="G65"/>
  <c r="F65"/>
  <c r="E65"/>
  <c r="D65"/>
  <c r="C65"/>
  <c r="B65"/>
  <c r="N6" i="34"/>
  <c r="C27" i="40"/>
  <c r="D32" i="47"/>
  <c r="H24" i="45" s="1"/>
  <c r="F37" i="48"/>
  <c r="H21" i="45" s="1"/>
  <c r="D118" i="43"/>
  <c r="C79" i="42"/>
  <c r="J19" i="55"/>
  <c r="J26"/>
  <c r="I28" i="45"/>
  <c r="B133" i="34"/>
  <c r="B134" s="1"/>
  <c r="B126"/>
  <c r="B127"/>
  <c r="B128"/>
  <c r="B129"/>
  <c r="B130"/>
  <c r="B131"/>
  <c r="B123"/>
  <c r="B124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4"/>
  <c r="B115"/>
  <c r="B116"/>
  <c r="B117"/>
  <c r="B119"/>
  <c r="B120"/>
  <c r="B88"/>
  <c r="B89"/>
  <c r="B80"/>
  <c r="B81"/>
  <c r="B82"/>
  <c r="B83"/>
  <c r="B84"/>
  <c r="B72"/>
  <c r="B73"/>
  <c r="B74"/>
  <c r="B75"/>
  <c r="B76"/>
  <c r="B61"/>
  <c r="B62"/>
  <c r="B63"/>
  <c r="B64"/>
  <c r="B65"/>
  <c r="B66"/>
  <c r="B67"/>
  <c r="B68"/>
  <c r="B69"/>
  <c r="B51"/>
  <c r="B52"/>
  <c r="B53"/>
  <c r="B54"/>
  <c r="B55"/>
  <c r="B56"/>
  <c r="B57"/>
  <c r="B58"/>
  <c r="B38"/>
  <c r="B39"/>
  <c r="B40"/>
  <c r="B41"/>
  <c r="B42"/>
  <c r="B43"/>
  <c r="B44"/>
  <c r="B45"/>
  <c r="B46"/>
  <c r="B47"/>
  <c r="B48"/>
  <c r="B49"/>
  <c r="B33"/>
  <c r="B34"/>
  <c r="B35"/>
  <c r="B36"/>
  <c r="B19"/>
  <c r="B20"/>
  <c r="B21"/>
  <c r="B22"/>
  <c r="B23"/>
  <c r="B24"/>
  <c r="B25"/>
  <c r="B26"/>
  <c r="B27"/>
  <c r="B28"/>
  <c r="B29"/>
  <c r="B30"/>
  <c r="B31"/>
  <c r="B11"/>
  <c r="B12"/>
  <c r="B13"/>
  <c r="B14"/>
  <c r="B15"/>
  <c r="B16"/>
  <c r="B17" s="1"/>
  <c r="B242"/>
  <c r="B290" s="1"/>
  <c r="B235"/>
  <c r="B236"/>
  <c r="B237"/>
  <c r="B238"/>
  <c r="B239"/>
  <c r="B240"/>
  <c r="B199"/>
  <c r="B200"/>
  <c r="B201"/>
  <c r="B202"/>
  <c r="B203"/>
  <c r="B205"/>
  <c r="B206"/>
  <c r="B207"/>
  <c r="B209"/>
  <c r="B210"/>
  <c r="B211"/>
  <c r="B213"/>
  <c r="B214"/>
  <c r="B215"/>
  <c r="B216"/>
  <c r="B217"/>
  <c r="B218"/>
  <c r="B220"/>
  <c r="B221"/>
  <c r="B222"/>
  <c r="B224"/>
  <c r="B225"/>
  <c r="B226"/>
  <c r="B227"/>
  <c r="B228"/>
  <c r="B229"/>
  <c r="B230"/>
  <c r="B231"/>
  <c r="B232"/>
  <c r="B233"/>
  <c r="B182"/>
  <c r="B183"/>
  <c r="B184"/>
  <c r="B185"/>
  <c r="B186"/>
  <c r="B187"/>
  <c r="B189"/>
  <c r="B190"/>
  <c r="B191"/>
  <c r="B192"/>
  <c r="B193"/>
  <c r="B176"/>
  <c r="B177"/>
  <c r="B178"/>
  <c r="B179"/>
  <c r="B180"/>
  <c r="B172"/>
  <c r="B173"/>
  <c r="B174" s="1"/>
  <c r="B163"/>
  <c r="B164"/>
  <c r="B165"/>
  <c r="B166"/>
  <c r="B167"/>
  <c r="B168"/>
  <c r="B169"/>
  <c r="B154"/>
  <c r="B155"/>
  <c r="B156"/>
  <c r="B157"/>
  <c r="B158"/>
  <c r="B159"/>
  <c r="B160"/>
  <c r="B146"/>
  <c r="B147"/>
  <c r="B148"/>
  <c r="B149"/>
  <c r="B150"/>
  <c r="B151"/>
  <c r="B141"/>
  <c r="B142"/>
  <c r="B143"/>
  <c r="B144"/>
  <c r="C133"/>
  <c r="C134" s="1"/>
  <c r="C126"/>
  <c r="C127"/>
  <c r="C128"/>
  <c r="C129"/>
  <c r="C130"/>
  <c r="C131"/>
  <c r="C123"/>
  <c r="C124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4"/>
  <c r="C115"/>
  <c r="C116"/>
  <c r="C117"/>
  <c r="C119"/>
  <c r="C120"/>
  <c r="C88"/>
  <c r="C89" s="1"/>
  <c r="C80"/>
  <c r="C81"/>
  <c r="C82"/>
  <c r="C83"/>
  <c r="C84"/>
  <c r="C72"/>
  <c r="C73"/>
  <c r="C74"/>
  <c r="C75"/>
  <c r="C76"/>
  <c r="C61"/>
  <c r="C62"/>
  <c r="C63"/>
  <c r="C64"/>
  <c r="C65"/>
  <c r="C66"/>
  <c r="C67"/>
  <c r="C68"/>
  <c r="C69"/>
  <c r="C51"/>
  <c r="C52"/>
  <c r="C53"/>
  <c r="C54"/>
  <c r="C55"/>
  <c r="C56"/>
  <c r="C57"/>
  <c r="C38"/>
  <c r="C39"/>
  <c r="C40"/>
  <c r="C41"/>
  <c r="C42"/>
  <c r="C43"/>
  <c r="C44"/>
  <c r="C45"/>
  <c r="C46"/>
  <c r="C47"/>
  <c r="C48"/>
  <c r="C33"/>
  <c r="C34"/>
  <c r="C35"/>
  <c r="C19"/>
  <c r="C20"/>
  <c r="C21"/>
  <c r="C22"/>
  <c r="C23"/>
  <c r="C24"/>
  <c r="C25"/>
  <c r="C26"/>
  <c r="C27"/>
  <c r="C28"/>
  <c r="C29"/>
  <c r="C30"/>
  <c r="C11"/>
  <c r="C12"/>
  <c r="C13"/>
  <c r="C14"/>
  <c r="C15"/>
  <c r="C16"/>
  <c r="C242"/>
  <c r="C290" s="1"/>
  <c r="C235"/>
  <c r="C236"/>
  <c r="C237"/>
  <c r="C238"/>
  <c r="C239"/>
  <c r="C199"/>
  <c r="C200"/>
  <c r="C201"/>
  <c r="C202"/>
  <c r="C203"/>
  <c r="C205"/>
  <c r="C206"/>
  <c r="C207"/>
  <c r="C209"/>
  <c r="C210"/>
  <c r="C211"/>
  <c r="C213"/>
  <c r="C214"/>
  <c r="C215"/>
  <c r="C216"/>
  <c r="C217"/>
  <c r="C218"/>
  <c r="C220"/>
  <c r="C221"/>
  <c r="C222"/>
  <c r="C224"/>
  <c r="C225"/>
  <c r="C226"/>
  <c r="C227"/>
  <c r="C228"/>
  <c r="C229"/>
  <c r="C230"/>
  <c r="C231"/>
  <c r="C232"/>
  <c r="C182"/>
  <c r="C183"/>
  <c r="C184"/>
  <c r="C185"/>
  <c r="C186"/>
  <c r="C187"/>
  <c r="C189"/>
  <c r="C190"/>
  <c r="C191"/>
  <c r="C192"/>
  <c r="C193"/>
  <c r="C176"/>
  <c r="C177"/>
  <c r="C178"/>
  <c r="C179"/>
  <c r="C172"/>
  <c r="C173"/>
  <c r="C163"/>
  <c r="C164"/>
  <c r="C165"/>
  <c r="C166"/>
  <c r="C167"/>
  <c r="C168"/>
  <c r="C169"/>
  <c r="C154"/>
  <c r="C155"/>
  <c r="C156"/>
  <c r="C157"/>
  <c r="C158"/>
  <c r="C159"/>
  <c r="C160"/>
  <c r="C146"/>
  <c r="C147"/>
  <c r="C148"/>
  <c r="C149"/>
  <c r="C150"/>
  <c r="C151"/>
  <c r="C141"/>
  <c r="C142"/>
  <c r="C143"/>
  <c r="D133"/>
  <c r="D134" s="1"/>
  <c r="D126"/>
  <c r="D127"/>
  <c r="D128"/>
  <c r="D129"/>
  <c r="D130"/>
  <c r="D123"/>
  <c r="D124" s="1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4"/>
  <c r="D115"/>
  <c r="D116"/>
  <c r="D117"/>
  <c r="D119"/>
  <c r="D120"/>
  <c r="D88"/>
  <c r="D89" s="1"/>
  <c r="D81"/>
  <c r="D82"/>
  <c r="D83"/>
  <c r="D84"/>
  <c r="D72"/>
  <c r="D73"/>
  <c r="D74"/>
  <c r="D75"/>
  <c r="D76"/>
  <c r="D61"/>
  <c r="D62"/>
  <c r="D63"/>
  <c r="D64"/>
  <c r="D65"/>
  <c r="D66"/>
  <c r="D67"/>
  <c r="D68"/>
  <c r="D69"/>
  <c r="D51"/>
  <c r="D52"/>
  <c r="D53"/>
  <c r="D54"/>
  <c r="D55"/>
  <c r="D56"/>
  <c r="D57"/>
  <c r="D38"/>
  <c r="D39"/>
  <c r="D40"/>
  <c r="D41"/>
  <c r="D42"/>
  <c r="D43"/>
  <c r="D44"/>
  <c r="D45"/>
  <c r="D46"/>
  <c r="D47"/>
  <c r="D48"/>
  <c r="D33"/>
  <c r="D34"/>
  <c r="D35"/>
  <c r="D36"/>
  <c r="D19"/>
  <c r="D20"/>
  <c r="D21"/>
  <c r="D22"/>
  <c r="D23"/>
  <c r="D24"/>
  <c r="D25"/>
  <c r="D26"/>
  <c r="D27"/>
  <c r="D28"/>
  <c r="D29"/>
  <c r="D30"/>
  <c r="D14"/>
  <c r="D15"/>
  <c r="D16"/>
  <c r="D17"/>
  <c r="D242"/>
  <c r="D290" s="1"/>
  <c r="D235"/>
  <c r="D236"/>
  <c r="D237"/>
  <c r="D238"/>
  <c r="D239"/>
  <c r="D199"/>
  <c r="D200"/>
  <c r="D201"/>
  <c r="D202"/>
  <c r="D203"/>
  <c r="D205"/>
  <c r="D206"/>
  <c r="D207"/>
  <c r="D209"/>
  <c r="D210"/>
  <c r="D211"/>
  <c r="D213"/>
  <c r="D214"/>
  <c r="D215"/>
  <c r="D216"/>
  <c r="D217"/>
  <c r="D218"/>
  <c r="D220"/>
  <c r="D221"/>
  <c r="D222"/>
  <c r="D224"/>
  <c r="D225"/>
  <c r="D226"/>
  <c r="D227"/>
  <c r="D228"/>
  <c r="D229"/>
  <c r="D230"/>
  <c r="D231"/>
  <c r="D232"/>
  <c r="D182"/>
  <c r="D183"/>
  <c r="D184"/>
  <c r="D185"/>
  <c r="D186"/>
  <c r="D187"/>
  <c r="D189"/>
  <c r="D190"/>
  <c r="D191"/>
  <c r="D192"/>
  <c r="D193"/>
  <c r="D176"/>
  <c r="D177"/>
  <c r="D178"/>
  <c r="D179"/>
  <c r="D172"/>
  <c r="D173"/>
  <c r="D163"/>
  <c r="D164"/>
  <c r="D165"/>
  <c r="D166"/>
  <c r="D167"/>
  <c r="D168"/>
  <c r="D169"/>
  <c r="D154"/>
  <c r="D155"/>
  <c r="D156"/>
  <c r="D157"/>
  <c r="D158"/>
  <c r="D159"/>
  <c r="D160"/>
  <c r="D146"/>
  <c r="D147"/>
  <c r="D148"/>
  <c r="D149"/>
  <c r="D150"/>
  <c r="D151"/>
  <c r="D141"/>
  <c r="D142"/>
  <c r="D143"/>
  <c r="E133"/>
  <c r="E134" s="1"/>
  <c r="E126"/>
  <c r="E127"/>
  <c r="E128"/>
  <c r="E129"/>
  <c r="E130"/>
  <c r="E123"/>
  <c r="E124" s="1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4"/>
  <c r="E115"/>
  <c r="E116"/>
  <c r="E117"/>
  <c r="E119"/>
  <c r="E120"/>
  <c r="E88"/>
  <c r="E89" s="1"/>
  <c r="E80"/>
  <c r="E81"/>
  <c r="E82"/>
  <c r="E83"/>
  <c r="E84"/>
  <c r="E72"/>
  <c r="E73"/>
  <c r="E74"/>
  <c r="E75"/>
  <c r="E76"/>
  <c r="E61"/>
  <c r="E62"/>
  <c r="E63"/>
  <c r="E64"/>
  <c r="E65"/>
  <c r="E66"/>
  <c r="E67"/>
  <c r="E68"/>
  <c r="E69"/>
  <c r="E51"/>
  <c r="E52"/>
  <c r="E53"/>
  <c r="E54"/>
  <c r="E55"/>
  <c r="E56"/>
  <c r="E57"/>
  <c r="E38"/>
  <c r="E39"/>
  <c r="E40"/>
  <c r="E41"/>
  <c r="E42"/>
  <c r="E43"/>
  <c r="E44"/>
  <c r="E45"/>
  <c r="E46"/>
  <c r="E47"/>
  <c r="E48"/>
  <c r="E33"/>
  <c r="E34"/>
  <c r="E35"/>
  <c r="E19"/>
  <c r="E20"/>
  <c r="E21"/>
  <c r="E22"/>
  <c r="E23"/>
  <c r="E24"/>
  <c r="E25"/>
  <c r="E26"/>
  <c r="E27"/>
  <c r="E28"/>
  <c r="E29"/>
  <c r="E30"/>
  <c r="E11"/>
  <c r="E12"/>
  <c r="E13"/>
  <c r="E14"/>
  <c r="E15"/>
  <c r="E16"/>
  <c r="E242"/>
  <c r="E290" s="1"/>
  <c r="E235"/>
  <c r="E236"/>
  <c r="E237"/>
  <c r="E238"/>
  <c r="E239"/>
  <c r="E199"/>
  <c r="E200"/>
  <c r="E201"/>
  <c r="E202"/>
  <c r="E203"/>
  <c r="E205"/>
  <c r="E206"/>
  <c r="E207"/>
  <c r="E209"/>
  <c r="E210"/>
  <c r="E211"/>
  <c r="E213"/>
  <c r="E214"/>
  <c r="E215"/>
  <c r="E216"/>
  <c r="E217"/>
  <c r="E218"/>
  <c r="E220"/>
  <c r="E221"/>
  <c r="E222"/>
  <c r="E224"/>
  <c r="E225"/>
  <c r="E226"/>
  <c r="E227"/>
  <c r="E228"/>
  <c r="E229"/>
  <c r="E230"/>
  <c r="E231"/>
  <c r="E232"/>
  <c r="E182"/>
  <c r="E183"/>
  <c r="E184"/>
  <c r="E185"/>
  <c r="E186"/>
  <c r="E187"/>
  <c r="E189"/>
  <c r="E190"/>
  <c r="E191"/>
  <c r="E192"/>
  <c r="E193"/>
  <c r="E176"/>
  <c r="E177"/>
  <c r="E178"/>
  <c r="E179"/>
  <c r="E172"/>
  <c r="E173"/>
  <c r="E163"/>
  <c r="E164"/>
  <c r="E165"/>
  <c r="E166"/>
  <c r="E167"/>
  <c r="E168"/>
  <c r="E169"/>
  <c r="E155"/>
  <c r="E156"/>
  <c r="E157"/>
  <c r="E158"/>
  <c r="E159"/>
  <c r="E160"/>
  <c r="E146"/>
  <c r="E147"/>
  <c r="E148"/>
  <c r="E149"/>
  <c r="E150"/>
  <c r="E151"/>
  <c r="E141"/>
  <c r="E142"/>
  <c r="E143"/>
  <c r="F133"/>
  <c r="F134" s="1"/>
  <c r="F126"/>
  <c r="F127"/>
  <c r="F128"/>
  <c r="F129"/>
  <c r="F130"/>
  <c r="F123"/>
  <c r="F124" s="1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4"/>
  <c r="F115"/>
  <c r="F116"/>
  <c r="F117"/>
  <c r="F119"/>
  <c r="F120"/>
  <c r="F88"/>
  <c r="F89" s="1"/>
  <c r="F80"/>
  <c r="F81"/>
  <c r="F82"/>
  <c r="F83"/>
  <c r="F84"/>
  <c r="F72"/>
  <c r="F73"/>
  <c r="F74"/>
  <c r="F75"/>
  <c r="F76"/>
  <c r="F61"/>
  <c r="F62"/>
  <c r="F63"/>
  <c r="F64"/>
  <c r="F65"/>
  <c r="F66"/>
  <c r="F67"/>
  <c r="F68"/>
  <c r="F69"/>
  <c r="F51"/>
  <c r="F52"/>
  <c r="F53"/>
  <c r="F54"/>
  <c r="F55"/>
  <c r="F56"/>
  <c r="F57"/>
  <c r="F38"/>
  <c r="F39"/>
  <c r="F40"/>
  <c r="F41"/>
  <c r="F42"/>
  <c r="F43"/>
  <c r="F44"/>
  <c r="F45"/>
  <c r="F46"/>
  <c r="F47"/>
  <c r="F48"/>
  <c r="F33"/>
  <c r="F34"/>
  <c r="F35"/>
  <c r="F19"/>
  <c r="F20"/>
  <c r="F21"/>
  <c r="F22"/>
  <c r="F23"/>
  <c r="F24"/>
  <c r="F25"/>
  <c r="F26"/>
  <c r="F27"/>
  <c r="F28"/>
  <c r="F29"/>
  <c r="F30"/>
  <c r="F31"/>
  <c r="F11"/>
  <c r="F12"/>
  <c r="F13"/>
  <c r="F14"/>
  <c r="F15"/>
  <c r="F16"/>
  <c r="F242"/>
  <c r="F290" s="1"/>
  <c r="F235"/>
  <c r="F236"/>
  <c r="F237"/>
  <c r="F238"/>
  <c r="F239"/>
  <c r="F199"/>
  <c r="F200"/>
  <c r="F201"/>
  <c r="F202"/>
  <c r="F203"/>
  <c r="F205"/>
  <c r="F206"/>
  <c r="F207"/>
  <c r="F209"/>
  <c r="F210"/>
  <c r="F211"/>
  <c r="F213"/>
  <c r="F214"/>
  <c r="F215"/>
  <c r="F216"/>
  <c r="F217"/>
  <c r="F218"/>
  <c r="F220"/>
  <c r="F221"/>
  <c r="F222"/>
  <c r="F224"/>
  <c r="F225"/>
  <c r="F226"/>
  <c r="F227"/>
  <c r="F228"/>
  <c r="F229"/>
  <c r="F230"/>
  <c r="F231"/>
  <c r="F232"/>
  <c r="F182"/>
  <c r="F183"/>
  <c r="F184"/>
  <c r="F185"/>
  <c r="F186"/>
  <c r="F187"/>
  <c r="F189"/>
  <c r="F190"/>
  <c r="F191"/>
  <c r="F192"/>
  <c r="F193"/>
  <c r="F176"/>
  <c r="F177"/>
  <c r="F178"/>
  <c r="F179"/>
  <c r="F172"/>
  <c r="F173"/>
  <c r="F163"/>
  <c r="F164"/>
  <c r="F165"/>
  <c r="F166"/>
  <c r="F167"/>
  <c r="F168"/>
  <c r="F169"/>
  <c r="F154"/>
  <c r="F155"/>
  <c r="F156"/>
  <c r="F157"/>
  <c r="F158"/>
  <c r="F159"/>
  <c r="F160"/>
  <c r="F146"/>
  <c r="F147"/>
  <c r="F148"/>
  <c r="F149"/>
  <c r="F150"/>
  <c r="F151"/>
  <c r="F141"/>
  <c r="F142"/>
  <c r="F143"/>
  <c r="G133"/>
  <c r="G134" s="1"/>
  <c r="G126"/>
  <c r="G127"/>
  <c r="G128"/>
  <c r="G129"/>
  <c r="G130"/>
  <c r="G123"/>
  <c r="G124" s="1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4"/>
  <c r="G115"/>
  <c r="G116"/>
  <c r="G117"/>
  <c r="G119"/>
  <c r="G120"/>
  <c r="G88"/>
  <c r="G89" s="1"/>
  <c r="G80"/>
  <c r="G81"/>
  <c r="G82"/>
  <c r="G83"/>
  <c r="G84"/>
  <c r="G72"/>
  <c r="G73"/>
  <c r="G74"/>
  <c r="G75"/>
  <c r="G76"/>
  <c r="G61"/>
  <c r="G62"/>
  <c r="G63"/>
  <c r="G64"/>
  <c r="G65"/>
  <c r="G66"/>
  <c r="G67"/>
  <c r="G68"/>
  <c r="G69"/>
  <c r="G51"/>
  <c r="G52"/>
  <c r="G53"/>
  <c r="G54"/>
  <c r="G55"/>
  <c r="G56"/>
  <c r="G57"/>
  <c r="G38"/>
  <c r="G39"/>
  <c r="G40"/>
  <c r="G41"/>
  <c r="G42"/>
  <c r="G43"/>
  <c r="G44"/>
  <c r="G45"/>
  <c r="G46"/>
  <c r="G47"/>
  <c r="G48"/>
  <c r="G33"/>
  <c r="G34"/>
  <c r="G35"/>
  <c r="G19"/>
  <c r="G20"/>
  <c r="G21"/>
  <c r="G22"/>
  <c r="G23"/>
  <c r="G24"/>
  <c r="G25"/>
  <c r="G26"/>
  <c r="G27"/>
  <c r="G28"/>
  <c r="G29"/>
  <c r="G30"/>
  <c r="G31"/>
  <c r="G11"/>
  <c r="G12"/>
  <c r="G13"/>
  <c r="G14"/>
  <c r="G15"/>
  <c r="G16"/>
  <c r="G242"/>
  <c r="G290" s="1"/>
  <c r="G235"/>
  <c r="G236"/>
  <c r="G237"/>
  <c r="G238"/>
  <c r="G239"/>
  <c r="G199"/>
  <c r="G200"/>
  <c r="G201"/>
  <c r="G202"/>
  <c r="G203"/>
  <c r="G205"/>
  <c r="G206"/>
  <c r="G207"/>
  <c r="G209"/>
  <c r="G210"/>
  <c r="G211"/>
  <c r="G213"/>
  <c r="G214"/>
  <c r="G215"/>
  <c r="G216"/>
  <c r="G217"/>
  <c r="G218"/>
  <c r="G220"/>
  <c r="G221"/>
  <c r="G222"/>
  <c r="G224"/>
  <c r="G225"/>
  <c r="G226"/>
  <c r="G227"/>
  <c r="G228"/>
  <c r="G229"/>
  <c r="G230"/>
  <c r="G231"/>
  <c r="G232"/>
  <c r="G182"/>
  <c r="G183"/>
  <c r="G184"/>
  <c r="G185"/>
  <c r="G186"/>
  <c r="G187"/>
  <c r="G189"/>
  <c r="G190"/>
  <c r="G191"/>
  <c r="G192"/>
  <c r="G193"/>
  <c r="G176"/>
  <c r="G177"/>
  <c r="G178"/>
  <c r="G179"/>
  <c r="G172"/>
  <c r="G173"/>
  <c r="G163"/>
  <c r="G164"/>
  <c r="G165"/>
  <c r="G166"/>
  <c r="G167"/>
  <c r="G168"/>
  <c r="G169"/>
  <c r="G155"/>
  <c r="G156"/>
  <c r="G157"/>
  <c r="G158"/>
  <c r="G159"/>
  <c r="G160"/>
  <c r="G146"/>
  <c r="G147"/>
  <c r="G148"/>
  <c r="G149"/>
  <c r="G150"/>
  <c r="G151"/>
  <c r="G141"/>
  <c r="G142"/>
  <c r="G143"/>
  <c r="I133"/>
  <c r="I134" s="1"/>
  <c r="I126"/>
  <c r="I127"/>
  <c r="I128"/>
  <c r="I129"/>
  <c r="I130"/>
  <c r="I123"/>
  <c r="I124" s="1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4"/>
  <c r="I115"/>
  <c r="I116"/>
  <c r="I117"/>
  <c r="I119"/>
  <c r="I120"/>
  <c r="I88"/>
  <c r="I89" s="1"/>
  <c r="I80"/>
  <c r="I81"/>
  <c r="I82"/>
  <c r="I83"/>
  <c r="I84"/>
  <c r="I72"/>
  <c r="I73"/>
  <c r="I74"/>
  <c r="I75"/>
  <c r="I76"/>
  <c r="I61"/>
  <c r="I62"/>
  <c r="I63"/>
  <c r="I64"/>
  <c r="I65"/>
  <c r="I66"/>
  <c r="I67"/>
  <c r="I68"/>
  <c r="I69"/>
  <c r="I51"/>
  <c r="I52"/>
  <c r="I53"/>
  <c r="I54"/>
  <c r="I55"/>
  <c r="I56"/>
  <c r="I57"/>
  <c r="I38"/>
  <c r="I39"/>
  <c r="I40"/>
  <c r="I41"/>
  <c r="I42"/>
  <c r="I43"/>
  <c r="I44"/>
  <c r="I45"/>
  <c r="I46"/>
  <c r="I47"/>
  <c r="I48"/>
  <c r="I33"/>
  <c r="I34"/>
  <c r="I35"/>
  <c r="I19"/>
  <c r="I20"/>
  <c r="I21"/>
  <c r="I22"/>
  <c r="I23"/>
  <c r="I24"/>
  <c r="I25"/>
  <c r="I26"/>
  <c r="I27"/>
  <c r="I28"/>
  <c r="I29"/>
  <c r="I30"/>
  <c r="I31"/>
  <c r="I11"/>
  <c r="I12"/>
  <c r="I13"/>
  <c r="I14"/>
  <c r="I15"/>
  <c r="I16"/>
  <c r="I242"/>
  <c r="I290" s="1"/>
  <c r="I235"/>
  <c r="I236"/>
  <c r="I237"/>
  <c r="I238"/>
  <c r="I239"/>
  <c r="I199"/>
  <c r="I200"/>
  <c r="I201"/>
  <c r="I202"/>
  <c r="I203"/>
  <c r="I205"/>
  <c r="I206"/>
  <c r="I207"/>
  <c r="I209"/>
  <c r="I210"/>
  <c r="I211"/>
  <c r="I213"/>
  <c r="I214"/>
  <c r="I215"/>
  <c r="I216"/>
  <c r="I217"/>
  <c r="I218"/>
  <c r="I220"/>
  <c r="I221"/>
  <c r="I222"/>
  <c r="I224"/>
  <c r="I225"/>
  <c r="I226"/>
  <c r="I227"/>
  <c r="I228"/>
  <c r="I229"/>
  <c r="I230"/>
  <c r="I231"/>
  <c r="I232"/>
  <c r="I182"/>
  <c r="I183"/>
  <c r="I184"/>
  <c r="I185"/>
  <c r="I186"/>
  <c r="I187"/>
  <c r="I189"/>
  <c r="I190"/>
  <c r="I191"/>
  <c r="I192"/>
  <c r="I193"/>
  <c r="I176"/>
  <c r="I177"/>
  <c r="I178"/>
  <c r="I179"/>
  <c r="I172"/>
  <c r="I173"/>
  <c r="I163"/>
  <c r="I164"/>
  <c r="I165"/>
  <c r="I166"/>
  <c r="I167"/>
  <c r="I168"/>
  <c r="I169"/>
  <c r="I155"/>
  <c r="I156"/>
  <c r="I157"/>
  <c r="I158"/>
  <c r="I159"/>
  <c r="I160"/>
  <c r="I146"/>
  <c r="I147"/>
  <c r="I148"/>
  <c r="I149"/>
  <c r="I150"/>
  <c r="I151"/>
  <c r="I141"/>
  <c r="I142"/>
  <c r="I143"/>
  <c r="K133"/>
  <c r="K134" s="1"/>
  <c r="K126"/>
  <c r="K127"/>
  <c r="K128"/>
  <c r="K129"/>
  <c r="K130"/>
  <c r="K123"/>
  <c r="K124" s="1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4"/>
  <c r="K115"/>
  <c r="K116"/>
  <c r="K117"/>
  <c r="K119"/>
  <c r="K120"/>
  <c r="K88"/>
  <c r="K89" s="1"/>
  <c r="K80"/>
  <c r="K81"/>
  <c r="K82"/>
  <c r="K83"/>
  <c r="K84"/>
  <c r="K72"/>
  <c r="K73"/>
  <c r="K74"/>
  <c r="K75"/>
  <c r="K76"/>
  <c r="K61"/>
  <c r="K62"/>
  <c r="K63"/>
  <c r="K64"/>
  <c r="K65"/>
  <c r="K66"/>
  <c r="K67"/>
  <c r="K68"/>
  <c r="K69"/>
  <c r="K51"/>
  <c r="K52"/>
  <c r="K53"/>
  <c r="K54"/>
  <c r="K55"/>
  <c r="K56"/>
  <c r="K57"/>
  <c r="K38"/>
  <c r="K39"/>
  <c r="K40"/>
  <c r="K41"/>
  <c r="K42"/>
  <c r="K43"/>
  <c r="K44"/>
  <c r="K45"/>
  <c r="K46"/>
  <c r="K47"/>
  <c r="K48"/>
  <c r="K33"/>
  <c r="K34"/>
  <c r="K35"/>
  <c r="K19"/>
  <c r="K20"/>
  <c r="K21"/>
  <c r="K22"/>
  <c r="K23"/>
  <c r="K24"/>
  <c r="K25"/>
  <c r="K26"/>
  <c r="K27"/>
  <c r="K28"/>
  <c r="K29"/>
  <c r="K30"/>
  <c r="K11"/>
  <c r="K12"/>
  <c r="K13"/>
  <c r="K14"/>
  <c r="K15"/>
  <c r="K16"/>
  <c r="K242"/>
  <c r="K290" s="1"/>
  <c r="K235"/>
  <c r="K236"/>
  <c r="K237"/>
  <c r="K238"/>
  <c r="K239"/>
  <c r="K199"/>
  <c r="K200"/>
  <c r="K201"/>
  <c r="K202"/>
  <c r="K203"/>
  <c r="K205"/>
  <c r="K206"/>
  <c r="K207"/>
  <c r="K209"/>
  <c r="K210"/>
  <c r="K211"/>
  <c r="K213"/>
  <c r="K214"/>
  <c r="K215"/>
  <c r="K216"/>
  <c r="K217"/>
  <c r="K218"/>
  <c r="K220"/>
  <c r="K221"/>
  <c r="K222"/>
  <c r="K224"/>
  <c r="K225"/>
  <c r="K226"/>
  <c r="K227"/>
  <c r="K228"/>
  <c r="K229"/>
  <c r="K230"/>
  <c r="K231"/>
  <c r="K232"/>
  <c r="K182"/>
  <c r="K183"/>
  <c r="K184"/>
  <c r="K185"/>
  <c r="K186"/>
  <c r="K187"/>
  <c r="K189"/>
  <c r="K190"/>
  <c r="K191"/>
  <c r="K192"/>
  <c r="K193"/>
  <c r="K176"/>
  <c r="K177"/>
  <c r="K178"/>
  <c r="K179"/>
  <c r="K172"/>
  <c r="K173"/>
  <c r="K163"/>
  <c r="K164"/>
  <c r="K165"/>
  <c r="K166"/>
  <c r="K167"/>
  <c r="K168"/>
  <c r="K169"/>
  <c r="K155"/>
  <c r="K156"/>
  <c r="K157"/>
  <c r="K158"/>
  <c r="K159"/>
  <c r="K160"/>
  <c r="K146"/>
  <c r="K147"/>
  <c r="K148"/>
  <c r="K149"/>
  <c r="K150"/>
  <c r="K151"/>
  <c r="L133"/>
  <c r="L134" s="1"/>
  <c r="L126"/>
  <c r="L127"/>
  <c r="L128"/>
  <c r="L129"/>
  <c r="L130"/>
  <c r="L123"/>
  <c r="L124" s="1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4"/>
  <c r="L115"/>
  <c r="L116"/>
  <c r="L117"/>
  <c r="L119"/>
  <c r="L120"/>
  <c r="L88"/>
  <c r="L89" s="1"/>
  <c r="L80"/>
  <c r="L81"/>
  <c r="L82"/>
  <c r="L83"/>
  <c r="L84"/>
  <c r="L72"/>
  <c r="L73"/>
  <c r="L74"/>
  <c r="L75"/>
  <c r="L76"/>
  <c r="L61"/>
  <c r="L62"/>
  <c r="L63"/>
  <c r="L64"/>
  <c r="L65"/>
  <c r="L66"/>
  <c r="L67"/>
  <c r="L68"/>
  <c r="L69"/>
  <c r="L51"/>
  <c r="L52"/>
  <c r="L53"/>
  <c r="L54"/>
  <c r="L55"/>
  <c r="L56"/>
  <c r="L57"/>
  <c r="L38"/>
  <c r="L39"/>
  <c r="L40"/>
  <c r="L41"/>
  <c r="L42"/>
  <c r="L43"/>
  <c r="L44"/>
  <c r="L45"/>
  <c r="L46"/>
  <c r="L47"/>
  <c r="L48"/>
  <c r="L33"/>
  <c r="L34"/>
  <c r="L35"/>
  <c r="L19"/>
  <c r="L20"/>
  <c r="L21"/>
  <c r="L22"/>
  <c r="L23"/>
  <c r="L24"/>
  <c r="L25"/>
  <c r="L26"/>
  <c r="L27"/>
  <c r="L28"/>
  <c r="L29"/>
  <c r="L30"/>
  <c r="L11"/>
  <c r="L12"/>
  <c r="L13"/>
  <c r="L14"/>
  <c r="L15"/>
  <c r="L16"/>
  <c r="L242"/>
  <c r="L290" s="1"/>
  <c r="L235"/>
  <c r="L236"/>
  <c r="L237"/>
  <c r="L238"/>
  <c r="L239"/>
  <c r="L199"/>
  <c r="L200"/>
  <c r="L201"/>
  <c r="L202"/>
  <c r="L203"/>
  <c r="L205"/>
  <c r="L206"/>
  <c r="L207"/>
  <c r="L209"/>
  <c r="L210"/>
  <c r="L211"/>
  <c r="L213"/>
  <c r="L214"/>
  <c r="L215"/>
  <c r="L216"/>
  <c r="L217"/>
  <c r="L218"/>
  <c r="L220"/>
  <c r="L221"/>
  <c r="L222"/>
  <c r="L224"/>
  <c r="L225"/>
  <c r="L226"/>
  <c r="L227"/>
  <c r="L228"/>
  <c r="L229"/>
  <c r="L230"/>
  <c r="L231"/>
  <c r="L232"/>
  <c r="L182"/>
  <c r="L183"/>
  <c r="L184"/>
  <c r="L185"/>
  <c r="L186"/>
  <c r="L187"/>
  <c r="L189"/>
  <c r="L190"/>
  <c r="L191"/>
  <c r="L192"/>
  <c r="L193"/>
  <c r="L176"/>
  <c r="L177"/>
  <c r="L178"/>
  <c r="L179"/>
  <c r="L172"/>
  <c r="L173"/>
  <c r="L163"/>
  <c r="L164"/>
  <c r="L165"/>
  <c r="L166"/>
  <c r="L167"/>
  <c r="L168"/>
  <c r="L169"/>
  <c r="L155"/>
  <c r="L156"/>
  <c r="L157"/>
  <c r="L158"/>
  <c r="L159"/>
  <c r="L160"/>
  <c r="L146"/>
  <c r="L147"/>
  <c r="L148"/>
  <c r="L149"/>
  <c r="L150"/>
  <c r="L151"/>
  <c r="L141"/>
  <c r="L142"/>
  <c r="L143"/>
  <c r="M11"/>
  <c r="M12"/>
  <c r="N12" s="1"/>
  <c r="M13"/>
  <c r="M14"/>
  <c r="N14" s="1"/>
  <c r="M15"/>
  <c r="M16"/>
  <c r="N16" s="1"/>
  <c r="M19"/>
  <c r="M20"/>
  <c r="M21"/>
  <c r="M22"/>
  <c r="M23"/>
  <c r="M24"/>
  <c r="M25"/>
  <c r="M26"/>
  <c r="M27"/>
  <c r="M28"/>
  <c r="M29"/>
  <c r="M30"/>
  <c r="M31"/>
  <c r="M33"/>
  <c r="M34"/>
  <c r="N34" s="1"/>
  <c r="M35"/>
  <c r="M36"/>
  <c r="M38"/>
  <c r="M39"/>
  <c r="N39" s="1"/>
  <c r="M40"/>
  <c r="M41"/>
  <c r="N41" s="1"/>
  <c r="M42"/>
  <c r="M43"/>
  <c r="N43" s="1"/>
  <c r="M44"/>
  <c r="M45"/>
  <c r="N45" s="1"/>
  <c r="M46"/>
  <c r="M47"/>
  <c r="N47" s="1"/>
  <c r="M48"/>
  <c r="M49"/>
  <c r="M51"/>
  <c r="M52"/>
  <c r="N52" s="1"/>
  <c r="M53"/>
  <c r="M54"/>
  <c r="N54" s="1"/>
  <c r="M55"/>
  <c r="M56"/>
  <c r="N56" s="1"/>
  <c r="M57"/>
  <c r="M58"/>
  <c r="M61"/>
  <c r="M62"/>
  <c r="N62" s="1"/>
  <c r="M63"/>
  <c r="M64"/>
  <c r="N64" s="1"/>
  <c r="M65"/>
  <c r="M66"/>
  <c r="N66" s="1"/>
  <c r="M67"/>
  <c r="N67" s="1"/>
  <c r="M68"/>
  <c r="N68" s="1"/>
  <c r="M69"/>
  <c r="N69" s="1"/>
  <c r="M70"/>
  <c r="M72"/>
  <c r="M73"/>
  <c r="N73" s="1"/>
  <c r="M74"/>
  <c r="M75"/>
  <c r="N75" s="1"/>
  <c r="M76"/>
  <c r="M80"/>
  <c r="M81"/>
  <c r="M82"/>
  <c r="N82" s="1"/>
  <c r="M83"/>
  <c r="M84"/>
  <c r="N84" s="1"/>
  <c r="M88"/>
  <c r="M89"/>
  <c r="M91"/>
  <c r="N91" s="1"/>
  <c r="M92"/>
  <c r="N92" s="1"/>
  <c r="M93"/>
  <c r="N93" s="1"/>
  <c r="M94"/>
  <c r="N94" s="1"/>
  <c r="M95"/>
  <c r="N95" s="1"/>
  <c r="M96"/>
  <c r="N96" s="1"/>
  <c r="M97"/>
  <c r="N97" s="1"/>
  <c r="M98"/>
  <c r="N98" s="1"/>
  <c r="M99"/>
  <c r="N99" s="1"/>
  <c r="M100"/>
  <c r="N100" s="1"/>
  <c r="M101"/>
  <c r="N101" s="1"/>
  <c r="M102"/>
  <c r="N102" s="1"/>
  <c r="M103"/>
  <c r="N103" s="1"/>
  <c r="M104"/>
  <c r="N104" s="1"/>
  <c r="M105"/>
  <c r="N105" s="1"/>
  <c r="M107"/>
  <c r="N107" s="1"/>
  <c r="M108"/>
  <c r="N108" s="1"/>
  <c r="M109"/>
  <c r="N109" s="1"/>
  <c r="M110"/>
  <c r="N110" s="1"/>
  <c r="M111"/>
  <c r="M112"/>
  <c r="M114"/>
  <c r="M115"/>
  <c r="M116"/>
  <c r="M117"/>
  <c r="M119"/>
  <c r="M120"/>
  <c r="M123"/>
  <c r="N123" s="1"/>
  <c r="N124" s="1"/>
  <c r="M126"/>
  <c r="N126" s="1"/>
  <c r="M127"/>
  <c r="N127" s="1"/>
  <c r="M128"/>
  <c r="N128" s="1"/>
  <c r="M129"/>
  <c r="N129" s="1"/>
  <c r="M130"/>
  <c r="N130" s="1"/>
  <c r="M133"/>
  <c r="N133" s="1"/>
  <c r="N134" s="1"/>
  <c r="M141"/>
  <c r="N141" s="1"/>
  <c r="M142"/>
  <c r="M143"/>
  <c r="N143" s="1"/>
  <c r="M146"/>
  <c r="M147"/>
  <c r="M148"/>
  <c r="M149"/>
  <c r="M150"/>
  <c r="M151"/>
  <c r="M155"/>
  <c r="M156"/>
  <c r="M157"/>
  <c r="M158"/>
  <c r="M159"/>
  <c r="M160"/>
  <c r="M163"/>
  <c r="N163" s="1"/>
  <c r="M164"/>
  <c r="N164" s="1"/>
  <c r="M165"/>
  <c r="N165" s="1"/>
  <c r="M166"/>
  <c r="N166" s="1"/>
  <c r="M167"/>
  <c r="N167" s="1"/>
  <c r="M168"/>
  <c r="N168" s="1"/>
  <c r="M169"/>
  <c r="N169" s="1"/>
  <c r="M172"/>
  <c r="N172" s="1"/>
  <c r="M173"/>
  <c r="M176"/>
  <c r="N176" s="1"/>
  <c r="M177"/>
  <c r="M178"/>
  <c r="N178" s="1"/>
  <c r="M179"/>
  <c r="M182"/>
  <c r="N182" s="1"/>
  <c r="M183"/>
  <c r="N183" s="1"/>
  <c r="M184"/>
  <c r="N184" s="1"/>
  <c r="M185"/>
  <c r="N185" s="1"/>
  <c r="M186"/>
  <c r="N186" s="1"/>
  <c r="M187"/>
  <c r="N187" s="1"/>
  <c r="M189"/>
  <c r="N189" s="1"/>
  <c r="M190"/>
  <c r="N190" s="1"/>
  <c r="M191"/>
  <c r="N191" s="1"/>
  <c r="M192"/>
  <c r="N192" s="1"/>
  <c r="M193"/>
  <c r="M199"/>
  <c r="N199" s="1"/>
  <c r="M200"/>
  <c r="M201"/>
  <c r="N201" s="1"/>
  <c r="M202"/>
  <c r="N202" s="1"/>
  <c r="M203"/>
  <c r="N203" s="1"/>
  <c r="M205"/>
  <c r="N205" s="1"/>
  <c r="M206"/>
  <c r="N206" s="1"/>
  <c r="M207"/>
  <c r="N207" s="1"/>
  <c r="M209"/>
  <c r="N209" s="1"/>
  <c r="M210"/>
  <c r="N210" s="1"/>
  <c r="M211"/>
  <c r="N211" s="1"/>
  <c r="M213"/>
  <c r="N213" s="1"/>
  <c r="M214"/>
  <c r="N214" s="1"/>
  <c r="M215"/>
  <c r="N215" s="1"/>
  <c r="M216"/>
  <c r="N216" s="1"/>
  <c r="M217"/>
  <c r="N217" s="1"/>
  <c r="M218"/>
  <c r="N218" s="1"/>
  <c r="M220"/>
  <c r="N220" s="1"/>
  <c r="M221"/>
  <c r="N221" s="1"/>
  <c r="M222"/>
  <c r="N222" s="1"/>
  <c r="M224"/>
  <c r="N224" s="1"/>
  <c r="M225"/>
  <c r="N225" s="1"/>
  <c r="M226"/>
  <c r="N226" s="1"/>
  <c r="M227"/>
  <c r="N227" s="1"/>
  <c r="M228"/>
  <c r="N228" s="1"/>
  <c r="M229"/>
  <c r="N229" s="1"/>
  <c r="M230"/>
  <c r="N230" s="1"/>
  <c r="M231"/>
  <c r="N231" s="1"/>
  <c r="M232"/>
  <c r="N232" s="1"/>
  <c r="M235"/>
  <c r="M236"/>
  <c r="M237"/>
  <c r="M238"/>
  <c r="M239"/>
  <c r="M242"/>
  <c r="M290" s="1"/>
  <c r="C105" i="29"/>
  <c r="C19" i="37"/>
  <c r="B80" i="28"/>
  <c r="C36" i="26"/>
  <c r="C18" i="23"/>
  <c r="C14" i="21"/>
  <c r="C24" i="20"/>
  <c r="C24" i="18"/>
  <c r="C22" i="17"/>
  <c r="C16" i="16"/>
  <c r="B27" i="54"/>
  <c r="B29" i="14"/>
  <c r="B7" i="52"/>
  <c r="C7"/>
  <c r="D7"/>
  <c r="E7"/>
  <c r="F7"/>
  <c r="G7"/>
  <c r="H7"/>
  <c r="I7"/>
  <c r="L7"/>
  <c r="N8"/>
  <c r="D9" i="16" s="1"/>
  <c r="N9" i="52"/>
  <c r="D11" i="16" s="1"/>
  <c r="N10" i="52"/>
  <c r="D13" i="16" s="1"/>
  <c r="B12" i="52"/>
  <c r="C12"/>
  <c r="D12"/>
  <c r="E12"/>
  <c r="F12"/>
  <c r="G12"/>
  <c r="H12"/>
  <c r="I12"/>
  <c r="K12"/>
  <c r="L12"/>
  <c r="N13"/>
  <c r="D9" i="17" s="1"/>
  <c r="N14" i="52"/>
  <c r="D11" i="17" s="1"/>
  <c r="N15" i="52"/>
  <c r="D13" i="17" s="1"/>
  <c r="N16" i="52"/>
  <c r="D15" i="17" s="1"/>
  <c r="N17" i="52"/>
  <c r="D17" i="17" s="1"/>
  <c r="N18" i="52"/>
  <c r="D19" i="17" s="1"/>
  <c r="B20" i="52"/>
  <c r="C20"/>
  <c r="D20"/>
  <c r="F20"/>
  <c r="E154" i="34"/>
  <c r="E161" s="1"/>
  <c r="G154"/>
  <c r="I154"/>
  <c r="K154"/>
  <c r="L154"/>
  <c r="L161" s="1"/>
  <c r="M154"/>
  <c r="M161" s="1"/>
  <c r="N21" i="52"/>
  <c r="D9" i="18" s="1"/>
  <c r="N22" i="52"/>
  <c r="D11" i="18" s="1"/>
  <c r="N23" i="52"/>
  <c r="D13" i="18" s="1"/>
  <c r="N24" i="52"/>
  <c r="D15" i="18" s="1"/>
  <c r="N25" i="52"/>
  <c r="D17" i="18" s="1"/>
  <c r="N26" i="52"/>
  <c r="D19" i="18" s="1"/>
  <c r="N27" i="52"/>
  <c r="D21" i="18" s="1"/>
  <c r="B29" i="52"/>
  <c r="C29"/>
  <c r="D29"/>
  <c r="E29"/>
  <c r="F29"/>
  <c r="G29"/>
  <c r="H29"/>
  <c r="I29"/>
  <c r="K29"/>
  <c r="L29"/>
  <c r="N30"/>
  <c r="D9" i="20" s="1"/>
  <c r="N31" i="52"/>
  <c r="D11" i="20" s="1"/>
  <c r="N32" i="52"/>
  <c r="D13" i="20" s="1"/>
  <c r="N33" i="52"/>
  <c r="D15" i="20" s="1"/>
  <c r="N34" i="52"/>
  <c r="D17" i="20" s="1"/>
  <c r="N35" i="52"/>
  <c r="D19" i="20" s="1"/>
  <c r="N36" i="52"/>
  <c r="D21" i="20" s="1"/>
  <c r="B38" i="52"/>
  <c r="C38"/>
  <c r="D38"/>
  <c r="E38"/>
  <c r="F38"/>
  <c r="G38"/>
  <c r="H38"/>
  <c r="I38"/>
  <c r="K38"/>
  <c r="L38"/>
  <c r="N39"/>
  <c r="D9" i="21" s="1"/>
  <c r="N40" i="52"/>
  <c r="D11" i="21" s="1"/>
  <c r="B42" i="52"/>
  <c r="C42"/>
  <c r="D42"/>
  <c r="E42"/>
  <c r="F42"/>
  <c r="G42"/>
  <c r="H42"/>
  <c r="I42"/>
  <c r="K42"/>
  <c r="L42"/>
  <c r="N43"/>
  <c r="D9" i="23" s="1"/>
  <c r="N44" i="52"/>
  <c r="D11" i="23" s="1"/>
  <c r="N45" i="52"/>
  <c r="D13" i="23" s="1"/>
  <c r="N46" i="52"/>
  <c r="D15" i="23" s="1"/>
  <c r="N50" i="52"/>
  <c r="D9" i="26" s="1"/>
  <c r="N51" i="52"/>
  <c r="D11" i="26" s="1"/>
  <c r="N52" i="52"/>
  <c r="D13" i="26" s="1"/>
  <c r="N53" i="52"/>
  <c r="D15" i="26" s="1"/>
  <c r="N54" i="52"/>
  <c r="D17" i="26" s="1"/>
  <c r="N55" i="52"/>
  <c r="D19" i="26" s="1"/>
  <c r="D23"/>
  <c r="D25"/>
  <c r="D27"/>
  <c r="D29"/>
  <c r="D31"/>
  <c r="B63" i="52"/>
  <c r="C63"/>
  <c r="D63"/>
  <c r="E63"/>
  <c r="F63"/>
  <c r="G63"/>
  <c r="H63"/>
  <c r="I63"/>
  <c r="K63"/>
  <c r="L63"/>
  <c r="N64"/>
  <c r="C9" i="28" s="1"/>
  <c r="C11"/>
  <c r="C13"/>
  <c r="C15"/>
  <c r="C17"/>
  <c r="C21"/>
  <c r="C23"/>
  <c r="C25"/>
  <c r="C29"/>
  <c r="C31"/>
  <c r="C33"/>
  <c r="C37"/>
  <c r="C39"/>
  <c r="C41"/>
  <c r="C43"/>
  <c r="C45"/>
  <c r="C47"/>
  <c r="C51"/>
  <c r="C53"/>
  <c r="C58"/>
  <c r="C62"/>
  <c r="C64"/>
  <c r="C66"/>
  <c r="C68"/>
  <c r="C70"/>
  <c r="C72"/>
  <c r="C74"/>
  <c r="C76"/>
  <c r="C78"/>
  <c r="B98" i="52"/>
  <c r="C98"/>
  <c r="D98"/>
  <c r="E98"/>
  <c r="F98"/>
  <c r="G98"/>
  <c r="H98"/>
  <c r="I98"/>
  <c r="K98"/>
  <c r="L98"/>
  <c r="N99"/>
  <c r="D9" i="37" s="1"/>
  <c r="N100" i="52"/>
  <c r="D11" i="37" s="1"/>
  <c r="N101" i="52"/>
  <c r="D13" i="37" s="1"/>
  <c r="N102" i="52"/>
  <c r="D15" i="37" s="1"/>
  <c r="N103" i="52"/>
  <c r="D17" i="37" s="1"/>
  <c r="B104" i="52"/>
  <c r="C104"/>
  <c r="D104"/>
  <c r="E104"/>
  <c r="F104"/>
  <c r="G104"/>
  <c r="I104"/>
  <c r="K104"/>
  <c r="N105"/>
  <c r="D9" i="29" s="1"/>
  <c r="N106" i="52"/>
  <c r="D11" i="29" s="1"/>
  <c r="N107" i="52"/>
  <c r="D13" i="29" s="1"/>
  <c r="N108" i="52"/>
  <c r="D15" i="29" s="1"/>
  <c r="N109" i="52"/>
  <c r="D17" i="29" s="1"/>
  <c r="N110" i="52"/>
  <c r="D19" i="29" s="1"/>
  <c r="N111" i="52"/>
  <c r="D21" i="29" s="1"/>
  <c r="N112" i="52"/>
  <c r="D23" i="29" s="1"/>
  <c r="N113" i="52"/>
  <c r="D25" i="29" s="1"/>
  <c r="N114" i="52"/>
  <c r="D27" i="29" s="1"/>
  <c r="N115" i="52"/>
  <c r="D29" i="29" s="1"/>
  <c r="N116" i="52"/>
  <c r="D31" i="29" s="1"/>
  <c r="N117" i="52"/>
  <c r="D33" i="29" s="1"/>
  <c r="N118" i="52"/>
  <c r="D35" i="29" s="1"/>
  <c r="N119" i="52"/>
  <c r="D37" i="29" s="1"/>
  <c r="N120" i="52"/>
  <c r="D39" i="29" s="1"/>
  <c r="N121" i="52"/>
  <c r="D41" i="29" s="1"/>
  <c r="N122" i="52"/>
  <c r="D43" i="29" s="1"/>
  <c r="N123" i="52"/>
  <c r="D45" i="29" s="1"/>
  <c r="N124" i="52"/>
  <c r="D47" i="29" s="1"/>
  <c r="N125" i="52"/>
  <c r="D49" i="29" s="1"/>
  <c r="N126" i="52"/>
  <c r="D51" i="29" s="1"/>
  <c r="N127" i="52"/>
  <c r="D53" i="29" s="1"/>
  <c r="N128" i="52"/>
  <c r="D55" i="29" s="1"/>
  <c r="N130" i="52"/>
  <c r="D59" i="29" s="1"/>
  <c r="N131" i="52"/>
  <c r="D61" i="29" s="1"/>
  <c r="N132" i="52"/>
  <c r="D63" i="29" s="1"/>
  <c r="N133" i="52"/>
  <c r="D65" i="29" s="1"/>
  <c r="N135" i="52"/>
  <c r="D69" i="29" s="1"/>
  <c r="N136" i="52"/>
  <c r="D71" i="29" s="1"/>
  <c r="N137" i="52"/>
  <c r="D73" i="29" s="1"/>
  <c r="N139" i="52"/>
  <c r="D77" i="29" s="1"/>
  <c r="N140" i="52"/>
  <c r="D79" i="29" s="1"/>
  <c r="N142" i="52"/>
  <c r="D83" i="29" s="1"/>
  <c r="N143" i="52"/>
  <c r="D85" i="29" s="1"/>
  <c r="N144" i="52"/>
  <c r="D87" i="29" s="1"/>
  <c r="N146" i="52"/>
  <c r="D91" i="29" s="1"/>
  <c r="N147" i="52"/>
  <c r="D93" i="29" s="1"/>
  <c r="N148" i="52"/>
  <c r="D95" i="29" s="1"/>
  <c r="N149" i="52"/>
  <c r="D97" i="29" s="1"/>
  <c r="C154" i="52"/>
  <c r="B7" i="38"/>
  <c r="C7"/>
  <c r="D7"/>
  <c r="E7"/>
  <c r="F7"/>
  <c r="G7"/>
  <c r="H7"/>
  <c r="I7"/>
  <c r="J7"/>
  <c r="K7"/>
  <c r="L7"/>
  <c r="M7"/>
  <c r="N8"/>
  <c r="E9" i="16"/>
  <c r="N9" i="38"/>
  <c r="E11" i="16"/>
  <c r="N10" i="38"/>
  <c r="E13" i="16"/>
  <c r="B12" i="38"/>
  <c r="C12"/>
  <c r="D12"/>
  <c r="E12"/>
  <c r="F12"/>
  <c r="G12"/>
  <c r="H12"/>
  <c r="I12"/>
  <c r="J12"/>
  <c r="K12"/>
  <c r="L12"/>
  <c r="N14"/>
  <c r="E11" i="17"/>
  <c r="N15" i="38"/>
  <c r="E13" i="17"/>
  <c r="N16" i="38"/>
  <c r="E15" i="17"/>
  <c r="N17" i="38"/>
  <c r="E17" i="17"/>
  <c r="N18" i="38"/>
  <c r="E19" i="17"/>
  <c r="B20" i="38"/>
  <c r="C20"/>
  <c r="D20"/>
  <c r="E20"/>
  <c r="F20"/>
  <c r="G20"/>
  <c r="H20"/>
  <c r="I20"/>
  <c r="J20"/>
  <c r="K20"/>
  <c r="L20"/>
  <c r="M20"/>
  <c r="N20"/>
  <c r="D12" i="54"/>
  <c r="D13" i="14" s="1"/>
  <c r="C13" s="1"/>
  <c r="N21" i="38"/>
  <c r="E9" i="18"/>
  <c r="N22" i="38"/>
  <c r="E11" i="18"/>
  <c r="N23" i="38"/>
  <c r="E13" i="18"/>
  <c r="N24" i="38"/>
  <c r="E15" i="18"/>
  <c r="N25" i="38"/>
  <c r="E17" i="18"/>
  <c r="N26" i="38"/>
  <c r="E19" i="18"/>
  <c r="N27" i="38"/>
  <c r="E21" i="18"/>
  <c r="B29" i="38"/>
  <c r="C29"/>
  <c r="D29"/>
  <c r="E29"/>
  <c r="F29"/>
  <c r="G29"/>
  <c r="H29"/>
  <c r="I29"/>
  <c r="J29"/>
  <c r="K29"/>
  <c r="L29"/>
  <c r="M29"/>
  <c r="N30"/>
  <c r="E9" i="20"/>
  <c r="N31" i="38"/>
  <c r="E11" i="20"/>
  <c r="N32" i="38"/>
  <c r="E13" i="20"/>
  <c r="N33" i="38"/>
  <c r="E15" i="20"/>
  <c r="N34" i="38"/>
  <c r="E17" i="20"/>
  <c r="N35" i="38"/>
  <c r="E19" i="20"/>
  <c r="N36" i="38"/>
  <c r="E21" i="20"/>
  <c r="B38" i="38"/>
  <c r="C38"/>
  <c r="D38"/>
  <c r="E38"/>
  <c r="F38"/>
  <c r="G38"/>
  <c r="H38"/>
  <c r="I38"/>
  <c r="J38"/>
  <c r="K38"/>
  <c r="L38"/>
  <c r="M38"/>
  <c r="N39"/>
  <c r="E9" i="21"/>
  <c r="N40" i="38"/>
  <c r="E11" i="21"/>
  <c r="B42" i="38"/>
  <c r="C42"/>
  <c r="D42"/>
  <c r="E42"/>
  <c r="F42"/>
  <c r="G42"/>
  <c r="H42"/>
  <c r="I42"/>
  <c r="J42"/>
  <c r="K42"/>
  <c r="L42"/>
  <c r="M42"/>
  <c r="N43"/>
  <c r="E9" i="23"/>
  <c r="N44" i="38"/>
  <c r="E11" i="23"/>
  <c r="N45" i="38"/>
  <c r="E13" i="23"/>
  <c r="N46" i="38"/>
  <c r="E15" i="23"/>
  <c r="N50" i="38"/>
  <c r="E9" i="26"/>
  <c r="N51" i="38"/>
  <c r="E11" i="26"/>
  <c r="N52" i="38"/>
  <c r="E13" i="26"/>
  <c r="N53" i="38"/>
  <c r="E15" i="26"/>
  <c r="N54" i="38"/>
  <c r="E17" i="26"/>
  <c r="N55" i="38"/>
  <c r="E19" i="26"/>
  <c r="N57" i="38"/>
  <c r="E23" i="26"/>
  <c r="F23" s="1"/>
  <c r="N58" i="38"/>
  <c r="E25" i="26"/>
  <c r="N59" i="38"/>
  <c r="E27" i="26"/>
  <c r="F27"/>
  <c r="N60" i="38"/>
  <c r="E29" i="26"/>
  <c r="N61" i="38"/>
  <c r="E31" i="26"/>
  <c r="F31" s="1"/>
  <c r="B63" i="38"/>
  <c r="C63"/>
  <c r="D63"/>
  <c r="E63"/>
  <c r="F63"/>
  <c r="G63"/>
  <c r="H63"/>
  <c r="I63"/>
  <c r="J63"/>
  <c r="K63"/>
  <c r="L63"/>
  <c r="M63"/>
  <c r="N64"/>
  <c r="D9" i="28"/>
  <c r="D11"/>
  <c r="E11" s="1"/>
  <c r="D13"/>
  <c r="E13" s="1"/>
  <c r="D15"/>
  <c r="E15" s="1"/>
  <c r="D17"/>
  <c r="E17" s="1"/>
  <c r="D21"/>
  <c r="E21" s="1"/>
  <c r="D23"/>
  <c r="E23" s="1"/>
  <c r="D25"/>
  <c r="E25" s="1"/>
  <c r="D29"/>
  <c r="E29" s="1"/>
  <c r="D31"/>
  <c r="E31" s="1"/>
  <c r="D33"/>
  <c r="E33" s="1"/>
  <c r="D37"/>
  <c r="E37" s="1"/>
  <c r="D39"/>
  <c r="E39" s="1"/>
  <c r="D41"/>
  <c r="E41" s="1"/>
  <c r="D43"/>
  <c r="E43" s="1"/>
  <c r="D45"/>
  <c r="E45" s="1"/>
  <c r="D47"/>
  <c r="E47" s="1"/>
  <c r="D51"/>
  <c r="E51" s="1"/>
  <c r="D53"/>
  <c r="E53" s="1"/>
  <c r="D58"/>
  <c r="E58" s="1"/>
  <c r="D62"/>
  <c r="E62" s="1"/>
  <c r="D64"/>
  <c r="E64" s="1"/>
  <c r="D66"/>
  <c r="E66" s="1"/>
  <c r="D68"/>
  <c r="E68" s="1"/>
  <c r="D70"/>
  <c r="E70" s="1"/>
  <c r="D72"/>
  <c r="E72" s="1"/>
  <c r="D74"/>
  <c r="E74" s="1"/>
  <c r="D76"/>
  <c r="E76" s="1"/>
  <c r="D78"/>
  <c r="E78" s="1"/>
  <c r="B98" i="38"/>
  <c r="C98"/>
  <c r="D98"/>
  <c r="E98"/>
  <c r="F98"/>
  <c r="G98"/>
  <c r="H98"/>
  <c r="I98"/>
  <c r="J98"/>
  <c r="K98"/>
  <c r="L98"/>
  <c r="M98"/>
  <c r="N99"/>
  <c r="E9" i="37"/>
  <c r="N100" i="38"/>
  <c r="E11" i="37"/>
  <c r="N101" i="38"/>
  <c r="E13" i="37"/>
  <c r="N102" i="38"/>
  <c r="E15" i="37"/>
  <c r="N103" i="38"/>
  <c r="E17" i="37"/>
  <c r="B104" i="38"/>
  <c r="C104"/>
  <c r="D104"/>
  <c r="E104"/>
  <c r="F104"/>
  <c r="G104"/>
  <c r="H104"/>
  <c r="I104"/>
  <c r="J104"/>
  <c r="K104"/>
  <c r="L104"/>
  <c r="M104"/>
  <c r="N105"/>
  <c r="E9" i="29"/>
  <c r="N106" i="38"/>
  <c r="E11" i="29"/>
  <c r="N107" i="38"/>
  <c r="E13" i="29"/>
  <c r="N108" i="38"/>
  <c r="E15" i="29"/>
  <c r="N109" i="38"/>
  <c r="E17" i="29"/>
  <c r="N110" i="38"/>
  <c r="E19" i="29"/>
  <c r="N111" i="38"/>
  <c r="E21" i="29"/>
  <c r="N112" i="38"/>
  <c r="E23" i="29"/>
  <c r="N113" i="38"/>
  <c r="E25" i="29"/>
  <c r="N114" i="38"/>
  <c r="E27" i="29"/>
  <c r="N115" i="38"/>
  <c r="E29" i="29"/>
  <c r="N116" i="38"/>
  <c r="E31" i="29"/>
  <c r="N117" i="38"/>
  <c r="E33" i="29"/>
  <c r="N118" i="38"/>
  <c r="E35" i="29"/>
  <c r="N119" i="38"/>
  <c r="E37" i="29"/>
  <c r="N120" i="38"/>
  <c r="E39" i="29"/>
  <c r="N121" i="38"/>
  <c r="E41" i="29"/>
  <c r="N122" i="38"/>
  <c r="E43" i="29"/>
  <c r="N123" i="38"/>
  <c r="E45" i="29"/>
  <c r="N124" i="38"/>
  <c r="E47" i="29"/>
  <c r="N125" i="38"/>
  <c r="E49" i="29"/>
  <c r="N126" i="38"/>
  <c r="E51" i="29"/>
  <c r="N127" i="38"/>
  <c r="E53" i="29"/>
  <c r="N128" i="38"/>
  <c r="E55" i="29"/>
  <c r="N130" i="38"/>
  <c r="E59" i="29"/>
  <c r="N131" i="38"/>
  <c r="E61" i="29"/>
  <c r="N132" i="38"/>
  <c r="E63" i="29"/>
  <c r="N133" i="38"/>
  <c r="E65" i="29"/>
  <c r="N135" i="38"/>
  <c r="E69" i="29"/>
  <c r="N136" i="38"/>
  <c r="E71" i="29"/>
  <c r="N137" i="38"/>
  <c r="E73" i="29"/>
  <c r="N139" i="38"/>
  <c r="E77" i="29"/>
  <c r="N140" i="38"/>
  <c r="E79" i="29"/>
  <c r="N142" i="38"/>
  <c r="E83" i="29"/>
  <c r="N143" i="38"/>
  <c r="E85" i="29"/>
  <c r="N144" i="38"/>
  <c r="E87" i="29"/>
  <c r="N145" i="38"/>
  <c r="E89" i="29" s="1"/>
  <c r="F89" s="1"/>
  <c r="N146" i="38"/>
  <c r="E91" i="29" s="1"/>
  <c r="E93"/>
  <c r="N147" i="38"/>
  <c r="E95" i="29"/>
  <c r="N148" i="38"/>
  <c r="E97" i="29"/>
  <c r="E103"/>
  <c r="F103" s="1"/>
  <c r="B152" i="38"/>
  <c r="C152"/>
  <c r="D152"/>
  <c r="E152"/>
  <c r="F152"/>
  <c r="G152"/>
  <c r="H152"/>
  <c r="I152"/>
  <c r="J152"/>
  <c r="K152"/>
  <c r="L152"/>
  <c r="B12" i="13"/>
  <c r="B20" i="27"/>
  <c r="B12" i="12"/>
  <c r="B12" i="36"/>
  <c r="B22" i="10"/>
  <c r="B27" i="8"/>
  <c r="B24" i="7"/>
  <c r="B32" i="6"/>
  <c r="B16" i="46"/>
  <c r="B34" i="4"/>
  <c r="B22" i="3"/>
  <c r="B34" i="1"/>
  <c r="B6" i="51"/>
  <c r="C6"/>
  <c r="D6"/>
  <c r="E6"/>
  <c r="F6"/>
  <c r="G6"/>
  <c r="H6"/>
  <c r="I6"/>
  <c r="K6"/>
  <c r="L6"/>
  <c r="N7"/>
  <c r="C9" i="3" s="1"/>
  <c r="N8" i="51"/>
  <c r="C11" i="3"/>
  <c r="N9" i="51"/>
  <c r="C13" i="3" s="1"/>
  <c r="N10" i="51"/>
  <c r="C15" i="3" s="1"/>
  <c r="N11" i="51"/>
  <c r="C17" i="3" s="1"/>
  <c r="N12" i="51"/>
  <c r="C19" i="3" s="1"/>
  <c r="B14" i="51"/>
  <c r="C14"/>
  <c r="D14"/>
  <c r="E14"/>
  <c r="F14"/>
  <c r="G14"/>
  <c r="H14"/>
  <c r="I14"/>
  <c r="K14"/>
  <c r="L14"/>
  <c r="N15"/>
  <c r="C9" i="4"/>
  <c r="N16" i="51"/>
  <c r="C11" i="4" s="1"/>
  <c r="N17" i="51"/>
  <c r="C13" i="4"/>
  <c r="N18" i="51"/>
  <c r="C15" i="4" s="1"/>
  <c r="N19" i="51"/>
  <c r="C17" i="4" s="1"/>
  <c r="N20" i="51"/>
  <c r="C19" i="4" s="1"/>
  <c r="N21" i="51"/>
  <c r="C21" i="4"/>
  <c r="N22" i="51"/>
  <c r="C23" i="4" s="1"/>
  <c r="N23" i="51"/>
  <c r="C25" i="4" s="1"/>
  <c r="N24" i="51"/>
  <c r="C27" i="4"/>
  <c r="N25" i="51"/>
  <c r="C29" i="4" s="1"/>
  <c r="N26" i="51"/>
  <c r="C31" i="4"/>
  <c r="B28" i="51"/>
  <c r="C28"/>
  <c r="D28"/>
  <c r="E28"/>
  <c r="F28"/>
  <c r="G28"/>
  <c r="H28"/>
  <c r="I28"/>
  <c r="K28"/>
  <c r="L28"/>
  <c r="N29"/>
  <c r="C9" i="46"/>
  <c r="N30" i="51"/>
  <c r="C11" i="46"/>
  <c r="N31" i="51"/>
  <c r="C13" i="46"/>
  <c r="B33" i="51"/>
  <c r="C33"/>
  <c r="D33"/>
  <c r="E33"/>
  <c r="F33"/>
  <c r="G33"/>
  <c r="H33"/>
  <c r="I33"/>
  <c r="K33"/>
  <c r="L33"/>
  <c r="N34"/>
  <c r="C9" i="6" s="1"/>
  <c r="N35" i="51"/>
  <c r="C11" i="6"/>
  <c r="N36" i="51"/>
  <c r="C13" i="6"/>
  <c r="N37" i="51"/>
  <c r="C15" i="6"/>
  <c r="N38" i="51"/>
  <c r="C17" i="6"/>
  <c r="N39" i="51"/>
  <c r="C19" i="6"/>
  <c r="N40" i="51"/>
  <c r="C21" i="6"/>
  <c r="N41" i="51"/>
  <c r="C23" i="6"/>
  <c r="N42" i="51"/>
  <c r="C25" i="6"/>
  <c r="N43" i="51"/>
  <c r="C27" i="6"/>
  <c r="N44" i="51"/>
  <c r="C29" i="6" s="1"/>
  <c r="B46" i="51"/>
  <c r="C46"/>
  <c r="D46"/>
  <c r="E46"/>
  <c r="F46"/>
  <c r="G46"/>
  <c r="H46"/>
  <c r="I46"/>
  <c r="K46"/>
  <c r="L46"/>
  <c r="N47"/>
  <c r="C9" i="7" s="1"/>
  <c r="N48" i="51"/>
  <c r="C11" i="7" s="1"/>
  <c r="N49" i="51"/>
  <c r="C13" i="7" s="1"/>
  <c r="N50" i="51"/>
  <c r="C15" i="7" s="1"/>
  <c r="N51" i="51"/>
  <c r="C17" i="7" s="1"/>
  <c r="N52" i="51"/>
  <c r="C19" i="7" s="1"/>
  <c r="N53" i="51"/>
  <c r="C21" i="7" s="1"/>
  <c r="B55" i="51"/>
  <c r="C55"/>
  <c r="D55"/>
  <c r="E55"/>
  <c r="F55"/>
  <c r="G55"/>
  <c r="H55"/>
  <c r="I55"/>
  <c r="K55"/>
  <c r="L55"/>
  <c r="N56"/>
  <c r="C9" i="8" s="1"/>
  <c r="N57" i="51"/>
  <c r="C11" i="8"/>
  <c r="N58" i="51"/>
  <c r="C13" i="8"/>
  <c r="N59" i="51"/>
  <c r="C15" i="8"/>
  <c r="N60" i="51"/>
  <c r="C17" i="8"/>
  <c r="N61" i="51"/>
  <c r="C19" i="8"/>
  <c r="N62" i="51"/>
  <c r="C21" i="8" s="1"/>
  <c r="N63" i="51"/>
  <c r="C23" i="8" s="1"/>
  <c r="N64" i="51"/>
  <c r="C25" i="8" s="1"/>
  <c r="N66" i="51"/>
  <c r="C9" i="9" s="1"/>
  <c r="N67" i="51"/>
  <c r="C11" i="9" s="1"/>
  <c r="N68" i="51"/>
  <c r="C13" i="9" s="1"/>
  <c r="N69" i="51"/>
  <c r="C15" i="9" s="1"/>
  <c r="N70" i="51"/>
  <c r="C17" i="9" s="1"/>
  <c r="B72" i="51"/>
  <c r="C72"/>
  <c r="N73"/>
  <c r="N74"/>
  <c r="C11" i="10" s="1"/>
  <c r="N75" i="51"/>
  <c r="C13" i="10"/>
  <c r="N76" i="51"/>
  <c r="C15" i="10" s="1"/>
  <c r="N77" i="51"/>
  <c r="C17" i="10" s="1"/>
  <c r="N79" i="51"/>
  <c r="C9" i="36"/>
  <c r="B81" i="51"/>
  <c r="C81"/>
  <c r="D81"/>
  <c r="E81"/>
  <c r="F81"/>
  <c r="G81"/>
  <c r="H81"/>
  <c r="I81"/>
  <c r="K81"/>
  <c r="L81"/>
  <c r="N82"/>
  <c r="C9" i="35"/>
  <c r="N83" i="51"/>
  <c r="C11" i="35" s="1"/>
  <c r="N84" i="51"/>
  <c r="C13" i="35" s="1"/>
  <c r="N85" i="51"/>
  <c r="C15" i="35" s="1"/>
  <c r="N86" i="51"/>
  <c r="C17" i="35" s="1"/>
  <c r="N87" i="51"/>
  <c r="C19" i="35"/>
  <c r="N88" i="51"/>
  <c r="C21" i="35" s="1"/>
  <c r="N89" i="51"/>
  <c r="C23" i="35" s="1"/>
  <c r="N90" i="51"/>
  <c r="C25" i="35" s="1"/>
  <c r="N91" i="51"/>
  <c r="C27" i="35" s="1"/>
  <c r="N92" i="51"/>
  <c r="C29" i="35" s="1"/>
  <c r="N93" i="51"/>
  <c r="C31" i="35" s="1"/>
  <c r="N94" i="51"/>
  <c r="C33" i="35" s="1"/>
  <c r="N95" i="51"/>
  <c r="C35" i="35" s="1"/>
  <c r="N96" i="51"/>
  <c r="C37" i="35"/>
  <c r="M106" i="34"/>
  <c r="N97" i="51"/>
  <c r="C39" i="35" s="1"/>
  <c r="N98" i="51"/>
  <c r="C41" i="35" s="1"/>
  <c r="N99" i="51"/>
  <c r="C43" i="35" s="1"/>
  <c r="N100" i="51"/>
  <c r="C45" i="35" s="1"/>
  <c r="N101" i="51"/>
  <c r="C47" i="35" s="1"/>
  <c r="N102" i="51"/>
  <c r="N103"/>
  <c r="N105"/>
  <c r="N106"/>
  <c r="N107"/>
  <c r="N108"/>
  <c r="N110"/>
  <c r="N111"/>
  <c r="N112"/>
  <c r="C9" i="12"/>
  <c r="B114" i="51"/>
  <c r="C114"/>
  <c r="D114"/>
  <c r="E114"/>
  <c r="F114"/>
  <c r="G114"/>
  <c r="H114"/>
  <c r="I114"/>
  <c r="K114"/>
  <c r="L114"/>
  <c r="N115"/>
  <c r="C9" i="27" s="1"/>
  <c r="N116" i="51"/>
  <c r="C11" i="27"/>
  <c r="N117" i="51"/>
  <c r="C13" i="27"/>
  <c r="N118" i="51"/>
  <c r="C15" i="27"/>
  <c r="N119" i="51"/>
  <c r="C17" i="27"/>
  <c r="N121" i="51"/>
  <c r="C9" i="13" s="1"/>
  <c r="B124" i="51"/>
  <c r="C124"/>
  <c r="D124"/>
  <c r="E124"/>
  <c r="F124"/>
  <c r="G124"/>
  <c r="H124"/>
  <c r="I124"/>
  <c r="K124"/>
  <c r="L124"/>
  <c r="B6" i="39"/>
  <c r="C6"/>
  <c r="D6"/>
  <c r="E6"/>
  <c r="F6"/>
  <c r="G6"/>
  <c r="H6"/>
  <c r="I6"/>
  <c r="J6"/>
  <c r="K6"/>
  <c r="L6"/>
  <c r="M6"/>
  <c r="N7"/>
  <c r="D9" i="3"/>
  <c r="N8" i="39"/>
  <c r="D11" i="3"/>
  <c r="N9" i="39"/>
  <c r="D13" i="3"/>
  <c r="N10" i="39"/>
  <c r="D15" i="3"/>
  <c r="N11" i="39"/>
  <c r="D17" i="3"/>
  <c r="N12" i="39"/>
  <c r="D19" i="3"/>
  <c r="B14" i="39"/>
  <c r="C14"/>
  <c r="D14"/>
  <c r="E14"/>
  <c r="F14"/>
  <c r="G14"/>
  <c r="H14"/>
  <c r="I14"/>
  <c r="J14"/>
  <c r="K14"/>
  <c r="L14"/>
  <c r="M14"/>
  <c r="N15"/>
  <c r="D9" i="4"/>
  <c r="N16" i="39"/>
  <c r="D11" i="4"/>
  <c r="N17" i="39"/>
  <c r="D13" i="4"/>
  <c r="N18" i="39"/>
  <c r="D15" i="4"/>
  <c r="N19" i="39"/>
  <c r="D17" i="4"/>
  <c r="N20" i="39"/>
  <c r="D19" i="4"/>
  <c r="N21" i="39"/>
  <c r="D21" i="4"/>
  <c r="N22" i="39"/>
  <c r="D23" i="4"/>
  <c r="N23" i="39"/>
  <c r="D25" i="4"/>
  <c r="N24" i="39"/>
  <c r="D27" i="4"/>
  <c r="N25" i="39"/>
  <c r="D29" i="4"/>
  <c r="N26" i="39"/>
  <c r="D31" i="4"/>
  <c r="B28" i="39"/>
  <c r="C28"/>
  <c r="D28"/>
  <c r="E28"/>
  <c r="F28"/>
  <c r="G28"/>
  <c r="H28"/>
  <c r="I28"/>
  <c r="J28"/>
  <c r="K28"/>
  <c r="L28"/>
  <c r="M28"/>
  <c r="N29"/>
  <c r="D9" i="46"/>
  <c r="N30" i="39"/>
  <c r="D11" i="46"/>
  <c r="N31" i="39"/>
  <c r="D13" i="46"/>
  <c r="B33" i="39"/>
  <c r="C33"/>
  <c r="D33"/>
  <c r="E33"/>
  <c r="F33"/>
  <c r="G33"/>
  <c r="H33"/>
  <c r="I33"/>
  <c r="J33"/>
  <c r="K33"/>
  <c r="L33"/>
  <c r="M33"/>
  <c r="N34"/>
  <c r="D9" i="6"/>
  <c r="N35" i="39"/>
  <c r="D11" i="6"/>
  <c r="N36" i="39"/>
  <c r="D13" i="6"/>
  <c r="N37" i="39"/>
  <c r="D15" i="6"/>
  <c r="N38" i="39"/>
  <c r="D17" i="6"/>
  <c r="N39" i="39"/>
  <c r="D19" i="6"/>
  <c r="N40" i="39"/>
  <c r="D21" i="6"/>
  <c r="N41" i="39"/>
  <c r="D23" i="6"/>
  <c r="N42" i="39"/>
  <c r="D25" i="6"/>
  <c r="N43" i="39"/>
  <c r="D27" i="6"/>
  <c r="N44" i="39"/>
  <c r="D29" i="6"/>
  <c r="B46" i="39"/>
  <c r="C46"/>
  <c r="D46"/>
  <c r="E46"/>
  <c r="F46"/>
  <c r="G46"/>
  <c r="H46"/>
  <c r="I46"/>
  <c r="J46"/>
  <c r="K46"/>
  <c r="L46"/>
  <c r="M46"/>
  <c r="N47"/>
  <c r="D9" i="7"/>
  <c r="N48" i="39"/>
  <c r="D11" i="7"/>
  <c r="N49" i="39"/>
  <c r="D13" i="7"/>
  <c r="N50" i="39"/>
  <c r="D15" i="7"/>
  <c r="N51" i="39"/>
  <c r="D17" i="7"/>
  <c r="N52" i="39"/>
  <c r="D19" i="7"/>
  <c r="N53" i="39"/>
  <c r="D21" i="7"/>
  <c r="B55" i="39"/>
  <c r="C55"/>
  <c r="D55"/>
  <c r="E55"/>
  <c r="F55"/>
  <c r="G55"/>
  <c r="H55"/>
  <c r="I55"/>
  <c r="J55"/>
  <c r="K55"/>
  <c r="L55"/>
  <c r="M55"/>
  <c r="N56"/>
  <c r="D9" i="8"/>
  <c r="N57" i="39"/>
  <c r="D11" i="8"/>
  <c r="N58" i="39"/>
  <c r="D13" i="8"/>
  <c r="N59" i="39"/>
  <c r="D15" i="8"/>
  <c r="N60" i="39"/>
  <c r="D17" i="8"/>
  <c r="N61" i="39"/>
  <c r="D19" i="8"/>
  <c r="N62" i="39"/>
  <c r="D21" i="8"/>
  <c r="N63" i="39"/>
  <c r="D23" i="8"/>
  <c r="N64" i="39"/>
  <c r="D25" i="8"/>
  <c r="N66" i="39"/>
  <c r="D9" i="9"/>
  <c r="N67" i="39"/>
  <c r="D11" i="9"/>
  <c r="N68" i="39"/>
  <c r="D13" i="9"/>
  <c r="N69" i="39"/>
  <c r="D15" i="9"/>
  <c r="N70" i="39"/>
  <c r="D17" i="9"/>
  <c r="N73" i="39"/>
  <c r="D9" i="10"/>
  <c r="N74" i="39"/>
  <c r="D11" i="10"/>
  <c r="N75" i="39"/>
  <c r="D13" i="10"/>
  <c r="N76" i="39"/>
  <c r="D15" i="10"/>
  <c r="N77" i="39"/>
  <c r="D17" i="10"/>
  <c r="N79" i="39"/>
  <c r="D9" i="36"/>
  <c r="D12"/>
  <c r="B81" i="39"/>
  <c r="C81"/>
  <c r="D81"/>
  <c r="E81"/>
  <c r="F81"/>
  <c r="G81"/>
  <c r="H81"/>
  <c r="I81"/>
  <c r="J81"/>
  <c r="K81"/>
  <c r="L81"/>
  <c r="M81"/>
  <c r="N82"/>
  <c r="D9" i="35"/>
  <c r="N83" i="39"/>
  <c r="D11" i="35"/>
  <c r="N84" i="39"/>
  <c r="D13" i="35"/>
  <c r="N85" i="39"/>
  <c r="D15" i="35"/>
  <c r="N86" i="39"/>
  <c r="D17" i="35"/>
  <c r="N87" i="39"/>
  <c r="D19" i="35"/>
  <c r="N88" i="39"/>
  <c r="D21" i="35"/>
  <c r="N89" i="39"/>
  <c r="D23" i="35"/>
  <c r="N90" i="39"/>
  <c r="D25" i="35"/>
  <c r="N91" i="39"/>
  <c r="D27" i="35"/>
  <c r="N92" i="39"/>
  <c r="D29" i="35"/>
  <c r="N93" i="39"/>
  <c r="D31" i="35"/>
  <c r="N94" i="39"/>
  <c r="D33" i="35"/>
  <c r="N95" i="39"/>
  <c r="D35" i="35"/>
  <c r="N96" i="39"/>
  <c r="D37" i="35"/>
  <c r="N97" i="39"/>
  <c r="D39" i="35"/>
  <c r="N98" i="39"/>
  <c r="D41" i="35"/>
  <c r="N99" i="39"/>
  <c r="D43" i="35"/>
  <c r="N100" i="39"/>
  <c r="D45" i="35"/>
  <c r="N101" i="39"/>
  <c r="D47" i="35"/>
  <c r="N102" i="39"/>
  <c r="D49" i="35"/>
  <c r="N103" i="39"/>
  <c r="D51" i="35"/>
  <c r="N105" i="39"/>
  <c r="D55" i="35"/>
  <c r="N106" i="39"/>
  <c r="D57" i="35"/>
  <c r="N107" i="39"/>
  <c r="D59" i="35"/>
  <c r="N108" i="39"/>
  <c r="D61" i="35"/>
  <c r="N109" i="39"/>
  <c r="D65" i="35"/>
  <c r="N110" i="39"/>
  <c r="D63" i="35" s="1"/>
  <c r="E63" s="1"/>
  <c r="D67"/>
  <c r="N111" i="39"/>
  <c r="D9" i="12"/>
  <c r="D12"/>
  <c r="B113" i="39"/>
  <c r="C113"/>
  <c r="D113"/>
  <c r="E113"/>
  <c r="F113"/>
  <c r="G113"/>
  <c r="H113"/>
  <c r="I113"/>
  <c r="J113"/>
  <c r="K113"/>
  <c r="L113"/>
  <c r="M113"/>
  <c r="N114"/>
  <c r="D9" i="27"/>
  <c r="N115" i="39"/>
  <c r="D11" i="27"/>
  <c r="N116" i="39"/>
  <c r="D13" i="27"/>
  <c r="N117" i="39"/>
  <c r="D15" i="27"/>
  <c r="N118" i="39"/>
  <c r="D17" i="27"/>
  <c r="N120" i="39"/>
  <c r="D9" i="13"/>
  <c r="D12"/>
  <c r="B123" i="39"/>
  <c r="C123"/>
  <c r="D123"/>
  <c r="E123"/>
  <c r="F123"/>
  <c r="G123"/>
  <c r="H123"/>
  <c r="I123"/>
  <c r="J123"/>
  <c r="K123"/>
  <c r="L123"/>
  <c r="M123"/>
  <c r="E9" i="46"/>
  <c r="C16"/>
  <c r="E9" i="4"/>
  <c r="D32" i="6"/>
  <c r="D16" i="46"/>
  <c r="D34" i="4"/>
  <c r="D22" i="3"/>
  <c r="E13" i="46"/>
  <c r="E11"/>
  <c r="E31" i="4"/>
  <c r="E27"/>
  <c r="E21"/>
  <c r="E13"/>
  <c r="E11" i="3"/>
  <c r="E9" i="12"/>
  <c r="E12"/>
  <c r="C12"/>
  <c r="C67" i="35"/>
  <c r="E67"/>
  <c r="C65"/>
  <c r="E65" s="1"/>
  <c r="C61"/>
  <c r="E61" s="1"/>
  <c r="C59"/>
  <c r="E59" s="1"/>
  <c r="C57"/>
  <c r="E57" s="1"/>
  <c r="C55"/>
  <c r="E55" s="1"/>
  <c r="C51"/>
  <c r="E51" s="1"/>
  <c r="C49"/>
  <c r="E49" s="1"/>
  <c r="N106" i="34"/>
  <c r="E9" i="35"/>
  <c r="E9" i="36"/>
  <c r="E12"/>
  <c r="C12"/>
  <c r="E18" i="23"/>
  <c r="E14" i="21"/>
  <c r="E24" i="20"/>
  <c r="E24" i="18"/>
  <c r="E16" i="16"/>
  <c r="D20" i="27"/>
  <c r="N113" i="39"/>
  <c r="D69" i="35"/>
  <c r="N81" i="39"/>
  <c r="D26" i="1"/>
  <c r="D22" i="10"/>
  <c r="D27" i="8"/>
  <c r="N55" i="39"/>
  <c r="D18" i="1"/>
  <c r="D24" i="7"/>
  <c r="N46" i="39"/>
  <c r="D16" i="1"/>
  <c r="N33" i="39"/>
  <c r="D14" i="1"/>
  <c r="N28" i="39"/>
  <c r="D12" i="1"/>
  <c r="N14" i="39"/>
  <c r="D10" i="1"/>
  <c r="N6" i="39"/>
  <c r="D8" i="1"/>
  <c r="E17" i="27"/>
  <c r="E15"/>
  <c r="E13"/>
  <c r="E11"/>
  <c r="N114" i="51"/>
  <c r="E37" i="35"/>
  <c r="E19"/>
  <c r="N81" i="51"/>
  <c r="C26" i="1" s="1"/>
  <c r="E26" s="1"/>
  <c r="E13" i="10"/>
  <c r="E19" i="8"/>
  <c r="E17"/>
  <c r="E15"/>
  <c r="E13"/>
  <c r="E11"/>
  <c r="N55" i="51"/>
  <c r="C18" i="1" s="1"/>
  <c r="E18" s="1"/>
  <c r="N46" i="51"/>
  <c r="C16" i="1" s="1"/>
  <c r="E16" s="1"/>
  <c r="E27" i="6"/>
  <c r="E25"/>
  <c r="E23"/>
  <c r="E21"/>
  <c r="E19"/>
  <c r="E17"/>
  <c r="E15"/>
  <c r="E13"/>
  <c r="E11"/>
  <c r="N33" i="51"/>
  <c r="C14" i="1" s="1"/>
  <c r="E14" s="1"/>
  <c r="N28" i="51"/>
  <c r="C12" i="1"/>
  <c r="E12" s="1"/>
  <c r="N14" i="51"/>
  <c r="C10" i="1" s="1"/>
  <c r="E10" s="1"/>
  <c r="N6" i="51"/>
  <c r="C8" i="1" s="1"/>
  <c r="E8" s="1"/>
  <c r="D32"/>
  <c r="C32"/>
  <c r="E32" s="1"/>
  <c r="D28"/>
  <c r="C28"/>
  <c r="E28" s="1"/>
  <c r="D24"/>
  <c r="C24"/>
  <c r="E24"/>
  <c r="E19" i="37"/>
  <c r="N154" i="34"/>
  <c r="N104" i="38"/>
  <c r="D26" i="54" s="1"/>
  <c r="D27" i="14" s="1"/>
  <c r="C27" s="1"/>
  <c r="N98" i="38"/>
  <c r="D24" i="54"/>
  <c r="D25" i="14" s="1"/>
  <c r="C25" s="1"/>
  <c r="N63" i="38"/>
  <c r="D22" i="54"/>
  <c r="D23" i="14" s="1"/>
  <c r="C23" s="1"/>
  <c r="N42" i="38"/>
  <c r="D18" i="54"/>
  <c r="D19" i="14" s="1"/>
  <c r="C19" s="1"/>
  <c r="N38" i="38"/>
  <c r="D16" i="54"/>
  <c r="D17" i="14" s="1"/>
  <c r="C17" s="1"/>
  <c r="N29" i="38"/>
  <c r="D14" i="54"/>
  <c r="D15" i="14" s="1"/>
  <c r="C15" s="1"/>
  <c r="N7" i="38"/>
  <c r="D8" i="54"/>
  <c r="D9" i="14" s="1"/>
  <c r="C9" s="1"/>
  <c r="N104" i="52"/>
  <c r="C26" i="54" s="1"/>
  <c r="L104" i="52"/>
  <c r="H104"/>
  <c r="N42"/>
  <c r="C18" i="54" s="1"/>
  <c r="E18" s="1"/>
  <c r="N38" i="52"/>
  <c r="C16" i="54" s="1"/>
  <c r="L20" i="52"/>
  <c r="K20"/>
  <c r="K154"/>
  <c r="I20"/>
  <c r="I154"/>
  <c r="H20"/>
  <c r="G20"/>
  <c r="E20"/>
  <c r="N7"/>
  <c r="C8" i="54" s="1"/>
  <c r="D80" i="28"/>
  <c r="C30" i="1"/>
  <c r="D30"/>
  <c r="L154" i="52"/>
  <c r="E16" i="46"/>
  <c r="F91" i="29" l="1"/>
  <c r="N120" i="34"/>
  <c r="N119"/>
  <c r="N117"/>
  <c r="N116"/>
  <c r="N115"/>
  <c r="N114"/>
  <c r="N112"/>
  <c r="N111"/>
  <c r="E30" i="1"/>
  <c r="N20" i="52"/>
  <c r="C12" i="54" s="1"/>
  <c r="E12" s="1"/>
  <c r="N72" i="39"/>
  <c r="N65"/>
  <c r="D20" i="1" s="1"/>
  <c r="E17" i="10"/>
  <c r="E15"/>
  <c r="E11"/>
  <c r="E11" i="9"/>
  <c r="E9"/>
  <c r="E25" i="8"/>
  <c r="E23"/>
  <c r="E9"/>
  <c r="E19" i="7"/>
  <c r="E17"/>
  <c r="E15"/>
  <c r="E13"/>
  <c r="E9"/>
  <c r="E29" i="6"/>
  <c r="E29" i="4"/>
  <c r="E25"/>
  <c r="E23"/>
  <c r="E19"/>
  <c r="E11"/>
  <c r="E19" i="3"/>
  <c r="E17"/>
  <c r="E15"/>
  <c r="E13"/>
  <c r="E105" i="29"/>
  <c r="D105"/>
  <c r="L17" i="34"/>
  <c r="N35"/>
  <c r="N57"/>
  <c r="N55"/>
  <c r="N53"/>
  <c r="L131"/>
  <c r="K17"/>
  <c r="I121"/>
  <c r="E121"/>
  <c r="C31"/>
  <c r="B121"/>
  <c r="E45" i="35"/>
  <c r="E33"/>
  <c r="E29"/>
  <c r="E25"/>
  <c r="E21"/>
  <c r="E15"/>
  <c r="E11"/>
  <c r="E47"/>
  <c r="E43"/>
  <c r="E35"/>
  <c r="E31"/>
  <c r="E27"/>
  <c r="E23"/>
  <c r="E17"/>
  <c r="E13"/>
  <c r="L36" i="34"/>
  <c r="L58"/>
  <c r="K170"/>
  <c r="K36"/>
  <c r="K58"/>
  <c r="K131"/>
  <c r="I17"/>
  <c r="G121"/>
  <c r="F121"/>
  <c r="D131"/>
  <c r="C233"/>
  <c r="C36"/>
  <c r="C58"/>
  <c r="N179"/>
  <c r="N177"/>
  <c r="N173"/>
  <c r="N159"/>
  <c r="N157"/>
  <c r="N155"/>
  <c r="N150"/>
  <c r="N148"/>
  <c r="N146"/>
  <c r="M134"/>
  <c r="M131"/>
  <c r="M124"/>
  <c r="N88"/>
  <c r="N89" s="1"/>
  <c r="N83"/>
  <c r="N81"/>
  <c r="N76"/>
  <c r="N74"/>
  <c r="N72"/>
  <c r="N30"/>
  <c r="N28"/>
  <c r="N26"/>
  <c r="N24"/>
  <c r="N22"/>
  <c r="N20"/>
  <c r="M17"/>
  <c r="N15"/>
  <c r="N13"/>
  <c r="N11"/>
  <c r="N29"/>
  <c r="N27"/>
  <c r="N25"/>
  <c r="N23"/>
  <c r="N21"/>
  <c r="N19"/>
  <c r="N48"/>
  <c r="N46"/>
  <c r="N44"/>
  <c r="N42"/>
  <c r="N40"/>
  <c r="L49"/>
  <c r="N65"/>
  <c r="N63"/>
  <c r="L70"/>
  <c r="K174"/>
  <c r="K49"/>
  <c r="K70"/>
  <c r="I36"/>
  <c r="E31"/>
  <c r="E131"/>
  <c r="C180"/>
  <c r="C240"/>
  <c r="C17"/>
  <c r="C49"/>
  <c r="C70"/>
  <c r="C121"/>
  <c r="N131"/>
  <c r="N17"/>
  <c r="N31"/>
  <c r="L86"/>
  <c r="K86"/>
  <c r="C86"/>
  <c r="N77"/>
  <c r="N121"/>
  <c r="M86"/>
  <c r="M121"/>
  <c r="M174"/>
  <c r="N174"/>
  <c r="M144"/>
  <c r="N80"/>
  <c r="N61"/>
  <c r="N70" s="1"/>
  <c r="N51"/>
  <c r="N58" s="1"/>
  <c r="N38"/>
  <c r="N49" s="1"/>
  <c r="N33"/>
  <c r="N36" s="1"/>
  <c r="K31"/>
  <c r="K121"/>
  <c r="I49"/>
  <c r="I86"/>
  <c r="E174"/>
  <c r="D86"/>
  <c r="D121"/>
  <c r="C174"/>
  <c r="B86"/>
  <c r="E8" i="54"/>
  <c r="E16"/>
  <c r="M180" i="34"/>
  <c r="M240"/>
  <c r="M152"/>
  <c r="F13" i="16"/>
  <c r="N180" i="34"/>
  <c r="M170"/>
  <c r="F174"/>
  <c r="G174"/>
  <c r="G86"/>
  <c r="E9" i="27"/>
  <c r="E20" s="1"/>
  <c r="C20"/>
  <c r="F86" i="34"/>
  <c r="N86"/>
  <c r="E86"/>
  <c r="D22" i="1"/>
  <c r="N123" i="39"/>
  <c r="D34" i="1"/>
  <c r="E26" i="54"/>
  <c r="D21" i="9"/>
  <c r="E41" i="35"/>
  <c r="E17" i="9"/>
  <c r="E15"/>
  <c r="E13"/>
  <c r="E21" i="7"/>
  <c r="E17" i="4"/>
  <c r="N49" i="38"/>
  <c r="F99" i="29"/>
  <c r="F97"/>
  <c r="F95"/>
  <c r="F93"/>
  <c r="F87"/>
  <c r="F85"/>
  <c r="F83"/>
  <c r="F79"/>
  <c r="F77"/>
  <c r="F73"/>
  <c r="F71"/>
  <c r="F69"/>
  <c r="F65"/>
  <c r="F63"/>
  <c r="F61"/>
  <c r="F59"/>
  <c r="F55"/>
  <c r="F53"/>
  <c r="F51"/>
  <c r="F49"/>
  <c r="F47"/>
  <c r="F45"/>
  <c r="F43"/>
  <c r="F41"/>
  <c r="F39"/>
  <c r="F35"/>
  <c r="F33"/>
  <c r="F31"/>
  <c r="F29"/>
  <c r="F27"/>
  <c r="F25"/>
  <c r="F23"/>
  <c r="F21"/>
  <c r="F19"/>
  <c r="F17"/>
  <c r="F15"/>
  <c r="F13"/>
  <c r="F11"/>
  <c r="F9"/>
  <c r="F17" i="37"/>
  <c r="F15"/>
  <c r="F13"/>
  <c r="F9"/>
  <c r="F29" i="26"/>
  <c r="F25"/>
  <c r="F19"/>
  <c r="F17"/>
  <c r="F15"/>
  <c r="F13"/>
  <c r="F11"/>
  <c r="F9"/>
  <c r="F15" i="23"/>
  <c r="F13"/>
  <c r="F11"/>
  <c r="F11" i="21"/>
  <c r="F21" i="20"/>
  <c r="F19"/>
  <c r="F17"/>
  <c r="F15"/>
  <c r="F13"/>
  <c r="F11"/>
  <c r="F21" i="18"/>
  <c r="F17"/>
  <c r="F15"/>
  <c r="F13"/>
  <c r="F11"/>
  <c r="F9"/>
  <c r="F19" i="17"/>
  <c r="F17"/>
  <c r="F15"/>
  <c r="F13"/>
  <c r="F11" i="16"/>
  <c r="N142" i="34"/>
  <c r="N144" s="1"/>
  <c r="N151"/>
  <c r="N149"/>
  <c r="N147"/>
  <c r="N160"/>
  <c r="N158"/>
  <c r="N156"/>
  <c r="L31"/>
  <c r="L121"/>
  <c r="I240"/>
  <c r="I58"/>
  <c r="I70"/>
  <c r="I131"/>
  <c r="G170"/>
  <c r="G17"/>
  <c r="G36"/>
  <c r="G49"/>
  <c r="G58"/>
  <c r="G70"/>
  <c r="G131"/>
  <c r="F161"/>
  <c r="F170"/>
  <c r="F17"/>
  <c r="F36"/>
  <c r="F49"/>
  <c r="F58"/>
  <c r="F70"/>
  <c r="F131"/>
  <c r="E170"/>
  <c r="E17"/>
  <c r="E36"/>
  <c r="E49"/>
  <c r="E58"/>
  <c r="E70"/>
  <c r="D58"/>
  <c r="D70"/>
  <c r="B70"/>
  <c r="N170"/>
  <c r="N152"/>
  <c r="F154" i="52"/>
  <c r="D154"/>
  <c r="B154"/>
  <c r="N161" i="34"/>
  <c r="L174"/>
  <c r="I174"/>
  <c r="D170"/>
  <c r="N188"/>
  <c r="N194"/>
  <c r="D18" i="23"/>
  <c r="F9"/>
  <c r="F9" i="21"/>
  <c r="D14"/>
  <c r="G154" i="52"/>
  <c r="E154"/>
  <c r="L170" i="34"/>
  <c r="I170"/>
  <c r="N239"/>
  <c r="N237"/>
  <c r="F240"/>
  <c r="D180"/>
  <c r="C152"/>
  <c r="B152"/>
  <c r="H154" i="52"/>
  <c r="N238" i="34"/>
  <c r="N236"/>
  <c r="C144"/>
  <c r="F14" i="21"/>
  <c r="F18" i="23"/>
  <c r="L144" i="34"/>
  <c r="L180"/>
  <c r="L240"/>
  <c r="K152"/>
  <c r="K233"/>
  <c r="I144"/>
  <c r="I180"/>
  <c r="G152"/>
  <c r="G233"/>
  <c r="F152"/>
  <c r="F233"/>
  <c r="E152"/>
  <c r="E233"/>
  <c r="N12" i="52"/>
  <c r="C10" i="54" s="1"/>
  <c r="N29" i="52"/>
  <c r="C14" i="54" s="1"/>
  <c r="E14" s="1"/>
  <c r="N63" i="52"/>
  <c r="N98"/>
  <c r="C24" i="54" s="1"/>
  <c r="E24" s="1"/>
  <c r="K161" i="34"/>
  <c r="I161"/>
  <c r="G161"/>
  <c r="N242"/>
  <c r="N290" s="1"/>
  <c r="N235"/>
  <c r="N240" s="1"/>
  <c r="M233"/>
  <c r="N200"/>
  <c r="N233" s="1"/>
  <c r="N193"/>
  <c r="L152"/>
  <c r="L233"/>
  <c r="K144"/>
  <c r="K180"/>
  <c r="K240"/>
  <c r="I152"/>
  <c r="I233"/>
  <c r="G144"/>
  <c r="G180"/>
  <c r="G240"/>
  <c r="F144"/>
  <c r="F180"/>
  <c r="E144"/>
  <c r="E180"/>
  <c r="E240"/>
  <c r="D174"/>
  <c r="C170"/>
  <c r="B161"/>
  <c r="C161"/>
  <c r="B170"/>
  <c r="D19" i="37"/>
  <c r="F11"/>
  <c r="D240" i="34"/>
  <c r="F37" i="29"/>
  <c r="D233" i="34"/>
  <c r="D152"/>
  <c r="E9" i="28"/>
  <c r="E80" s="1"/>
  <c r="C80"/>
  <c r="F9" i="20"/>
  <c r="F24" s="1"/>
  <c r="D24"/>
  <c r="F19" i="18"/>
  <c r="D24"/>
  <c r="D161" i="34"/>
  <c r="F11" i="17"/>
  <c r="D22"/>
  <c r="D144" i="34"/>
  <c r="D16" i="16"/>
  <c r="F9"/>
  <c r="F16" s="1"/>
  <c r="E21" i="8"/>
  <c r="E27" s="1"/>
  <c r="C27"/>
  <c r="C69" i="35"/>
  <c r="E39"/>
  <c r="E69" s="1"/>
  <c r="C9" i="10"/>
  <c r="N72" i="51"/>
  <c r="C22" i="1" s="1"/>
  <c r="E22" s="1"/>
  <c r="D31" i="34"/>
  <c r="E9" i="13"/>
  <c r="E12" s="1"/>
  <c r="C12"/>
  <c r="E9" i="10"/>
  <c r="E22" s="1"/>
  <c r="C22"/>
  <c r="C24" i="7"/>
  <c r="E11"/>
  <c r="E24" s="1"/>
  <c r="D49" i="34"/>
  <c r="E9" i="6"/>
  <c r="E32" s="1"/>
  <c r="C32"/>
  <c r="C34" i="4"/>
  <c r="E15"/>
  <c r="E34" s="1"/>
  <c r="C22" i="3"/>
  <c r="E9"/>
  <c r="E22" s="1"/>
  <c r="D20" i="54"/>
  <c r="D21" i="14" s="1"/>
  <c r="C21" s="1"/>
  <c r="E36" i="26"/>
  <c r="F33"/>
  <c r="N49" i="52"/>
  <c r="N154" s="1"/>
  <c r="N195" i="34"/>
  <c r="M195"/>
  <c r="M291" s="1"/>
  <c r="L195"/>
  <c r="L291" s="1"/>
  <c r="K195"/>
  <c r="I195"/>
  <c r="G195"/>
  <c r="F195"/>
  <c r="F291" s="1"/>
  <c r="E195"/>
  <c r="D195"/>
  <c r="C195"/>
  <c r="B195"/>
  <c r="B291" s="1"/>
  <c r="C20" i="54"/>
  <c r="F21" i="26"/>
  <c r="D36"/>
  <c r="C21" i="9"/>
  <c r="N65" i="51"/>
  <c r="C20" i="1" s="1"/>
  <c r="C34" s="1"/>
  <c r="E19" i="9"/>
  <c r="E21" s="1"/>
  <c r="N78" i="34"/>
  <c r="N136" s="1"/>
  <c r="N138" s="1"/>
  <c r="M78"/>
  <c r="M136" s="1"/>
  <c r="L78"/>
  <c r="L136" s="1"/>
  <c r="K78"/>
  <c r="K136" s="1"/>
  <c r="I78"/>
  <c r="I136" s="1"/>
  <c r="G78"/>
  <c r="G136" s="1"/>
  <c r="F78"/>
  <c r="E78"/>
  <c r="E136" s="1"/>
  <c r="D78"/>
  <c r="D136" s="1"/>
  <c r="C78"/>
  <c r="C136" s="1"/>
  <c r="B78"/>
  <c r="B136" s="1"/>
  <c r="F105" i="29" l="1"/>
  <c r="B292" i="34"/>
  <c r="C6" s="1"/>
  <c r="B138"/>
  <c r="F19" i="37"/>
  <c r="F24" i="18"/>
  <c r="F136" i="34"/>
  <c r="C22" i="54"/>
  <c r="E22" s="1"/>
  <c r="N291" i="34"/>
  <c r="N292" s="1"/>
  <c r="F36" i="26"/>
  <c r="C291" i="34"/>
  <c r="C292" s="1"/>
  <c r="D6" s="1"/>
  <c r="D138" s="1"/>
  <c r="E291"/>
  <c r="G291"/>
  <c r="I291"/>
  <c r="K291"/>
  <c r="D291"/>
  <c r="N124" i="51"/>
  <c r="C138" i="34"/>
  <c r="C27" i="54"/>
  <c r="E20"/>
  <c r="E20" i="1"/>
  <c r="E34" s="1"/>
  <c r="D292" i="34" l="1"/>
  <c r="E6" s="1"/>
  <c r="E292" s="1"/>
  <c r="F6" s="1"/>
  <c r="F292" s="1"/>
  <c r="G6" s="1"/>
  <c r="G292" s="1"/>
  <c r="H6" s="1"/>
  <c r="H292" l="1"/>
  <c r="I6" s="1"/>
  <c r="H138"/>
  <c r="G138"/>
  <c r="E138"/>
  <c r="F138"/>
  <c r="I292" l="1"/>
  <c r="J6" s="1"/>
  <c r="I138"/>
  <c r="J292" l="1"/>
  <c r="J138"/>
  <c r="K6"/>
  <c r="K292" l="1"/>
  <c r="L6" s="1"/>
  <c r="K138"/>
  <c r="L292" l="1"/>
  <c r="M6" s="1"/>
  <c r="L138"/>
  <c r="M292" l="1"/>
  <c r="M138"/>
  <c r="M12" i="38" l="1"/>
  <c r="M152"/>
  <c r="N13"/>
  <c r="E9" i="17" s="1"/>
  <c r="N12" i="38"/>
  <c r="N152" s="1"/>
  <c r="D10" i="54"/>
  <c r="E10"/>
  <c r="E27"/>
  <c r="D27" l="1"/>
  <c r="D11" i="14"/>
  <c r="E22" i="17"/>
  <c r="F9"/>
  <c r="F22" s="1"/>
  <c r="C11" i="14" l="1"/>
  <c r="C29" s="1"/>
  <c r="D29"/>
</calcChain>
</file>

<file path=xl/sharedStrings.xml><?xml version="1.0" encoding="utf-8"?>
<sst xmlns="http://schemas.openxmlformats.org/spreadsheetml/2006/main" count="2516" uniqueCount="1466">
  <si>
    <t>CONCEPTO</t>
  </si>
  <si>
    <t>F.I.S.M.</t>
  </si>
  <si>
    <t>FORTAMUN</t>
  </si>
  <si>
    <t>Otros</t>
  </si>
  <si>
    <t>TOTAL</t>
  </si>
  <si>
    <t>ANALISIS PRESUPUESTARIO DE INGRESOS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</si>
  <si>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</si>
  <si>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</si>
  <si>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</si>
  <si>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</si>
  <si>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</si>
  <si>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</si>
  <si>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</si>
  <si>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</si>
  <si>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</si>
  <si>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DICIEMBRE</t>
  </si>
  <si>
    <t>SEPT.</t>
  </si>
  <si>
    <t>NOV.</t>
  </si>
  <si>
    <t>IMPUESTOS</t>
  </si>
  <si>
    <t>DERECHOS</t>
  </si>
  <si>
    <t>PRODUCTOS</t>
  </si>
  <si>
    <t>APROVECHAMIENTOS</t>
  </si>
  <si>
    <t>PARTICIPACIONES</t>
  </si>
  <si>
    <t>FINANCIAMIENTO</t>
  </si>
  <si>
    <t>FONDO PARA EL FORTALECIMIENTO MUNICIPAL</t>
  </si>
  <si>
    <t>CONTRIBUCION DE VECINOS</t>
  </si>
  <si>
    <t>OTROS</t>
  </si>
  <si>
    <t>Predial</t>
  </si>
  <si>
    <t>Diversos</t>
  </si>
  <si>
    <t>Intereses</t>
  </si>
  <si>
    <t>Multas</t>
  </si>
  <si>
    <t>Donativos</t>
  </si>
  <si>
    <t>Subsidios</t>
  </si>
  <si>
    <t>Indemnizaciones</t>
  </si>
  <si>
    <t>Tenencia</t>
  </si>
  <si>
    <t>Enajenación de Bienes Muebles e Inmuebles</t>
  </si>
  <si>
    <t>Fondo General de Participaciones</t>
  </si>
  <si>
    <t>Fondo Nacional de Fomento Municipal</t>
  </si>
  <si>
    <t xml:space="preserve">T O T A L </t>
  </si>
  <si>
    <t>INGRESOS</t>
  </si>
  <si>
    <t>PRESUPUESTO</t>
  </si>
  <si>
    <t>VARIACION</t>
  </si>
  <si>
    <t>CUADRO ANALITICO DE RECAUDACION DE IMPUESTOS</t>
  </si>
  <si>
    <t>CUADRO ANALITICO DE RECAUDACION DE PRODUCTOS</t>
  </si>
  <si>
    <t>Enajenación de Bienes Mueb. e Inmuebles</t>
  </si>
  <si>
    <t>Arren. o Explotación de Bienes Mueb.o Inm.</t>
  </si>
  <si>
    <t>CUADRO ANALITICO DE RECAUDACION DE APROVECHAMIENTOS</t>
  </si>
  <si>
    <t>CUADRO ANALITICO DE RECAUDACION DE PARTICIPACIONES</t>
  </si>
  <si>
    <t>CUADRO ANALITICO DE RECAUDACION DE OTROS</t>
  </si>
  <si>
    <t>SERVICIOS COMUNITARIOS</t>
  </si>
  <si>
    <t>DESARROLLO SOCIAL</t>
  </si>
  <si>
    <t>ADQUISICIONES</t>
  </si>
  <si>
    <t>PRESUPUESTO ORIG.</t>
  </si>
  <si>
    <t>AUTORIZADO</t>
  </si>
  <si>
    <t>Administración de la Función Pública</t>
  </si>
  <si>
    <t>Gastos Administrativos</t>
  </si>
  <si>
    <t>Gastos de la Función</t>
  </si>
  <si>
    <t>Mantenimiento de Vías Públicas</t>
  </si>
  <si>
    <t>Parques, Jardines y Plazas</t>
  </si>
  <si>
    <t>Cultura</t>
  </si>
  <si>
    <t>Asistencia Social</t>
  </si>
  <si>
    <t>Fomento al Deporte</t>
  </si>
  <si>
    <t>Aportaciones a Centros Asistenciales</t>
  </si>
  <si>
    <t>Equipo de Transporte</t>
  </si>
  <si>
    <t>Equipo de Oficina</t>
  </si>
  <si>
    <t>Edificios Públicos</t>
  </si>
  <si>
    <t>Bienes Muebles</t>
  </si>
  <si>
    <t>Bienes Inmuebles</t>
  </si>
  <si>
    <t>Obras Públicas Directas</t>
  </si>
  <si>
    <t>Ecología</t>
  </si>
  <si>
    <t>CUADRO ANALITICO DE SERVICIOS COMUNITARIOS</t>
  </si>
  <si>
    <t>Alumbrado Público</t>
  </si>
  <si>
    <t>CUADRO ANALITICO DE DESARROLLO SOCIAL</t>
  </si>
  <si>
    <t>CUADRO ANALITICO DE ADQUISICIONES</t>
  </si>
  <si>
    <t>CUADRO ANALITICO DEL FONDO DE INFRAESTRUCTURA SOCIAL MUNICIPAL</t>
  </si>
  <si>
    <t>Crédito a la palabra</t>
  </si>
  <si>
    <t>SALDO INICIAL</t>
  </si>
  <si>
    <t>SEPTIEMBRE</t>
  </si>
  <si>
    <t>NOVIEMBRE</t>
  </si>
  <si>
    <t>ACUMULADO</t>
  </si>
  <si>
    <t>PREDIAL</t>
  </si>
  <si>
    <t>JUEGOS PERMITIDOS</t>
  </si>
  <si>
    <t>AUM. VALOR Y MEJ. ESP. PROP.</t>
  </si>
  <si>
    <t>TOTAL IMPUESTOS</t>
  </si>
  <si>
    <t>DIVERSOS</t>
  </si>
  <si>
    <t>TOTAL DERECHOS</t>
  </si>
  <si>
    <t>INTERESES</t>
  </si>
  <si>
    <t>TOTAL PRODUCTOS</t>
  </si>
  <si>
    <t>MULTAS</t>
  </si>
  <si>
    <t>DONATIVOS</t>
  </si>
  <si>
    <t>TOTAL APROVECHAMIENTOS</t>
  </si>
  <si>
    <t>FONDO GENERAL PARTICIPACIONES</t>
  </si>
  <si>
    <t>FONDO NACIONAL FOMENTO MUNICIPAL</t>
  </si>
  <si>
    <t>CONTROL VEHICULAR</t>
  </si>
  <si>
    <t>TOTAL PARTICIPACIONES</t>
  </si>
  <si>
    <t>TOTAL CONTRIBUCION VECINOS</t>
  </si>
  <si>
    <t>TOTAL OTROS</t>
  </si>
  <si>
    <t>FINANCIAMIENTOS</t>
  </si>
  <si>
    <t>TOTAL FINANCIAMIENTOS</t>
  </si>
  <si>
    <t>TOTAL INGRESOS</t>
  </si>
  <si>
    <t>DISPONIBLE</t>
  </si>
  <si>
    <t>ADMINISTRACION PUBLICA</t>
  </si>
  <si>
    <t>GASTOS ADMINISTRATIVOS</t>
  </si>
  <si>
    <t>ALUMBRADO PUBLICO</t>
  </si>
  <si>
    <t>LIMPIA MUNICIPAL</t>
  </si>
  <si>
    <t>MANTENIMIENTO VIAS PUBLICAS</t>
  </si>
  <si>
    <t>PARQUES, JARDINES Y PLAZAS</t>
  </si>
  <si>
    <t>PANTEONES MUNICIPALES</t>
  </si>
  <si>
    <t>TOTAL SERVICIOS COMUNITARIOS</t>
  </si>
  <si>
    <t>EDUCACION</t>
  </si>
  <si>
    <t>CULTURA</t>
  </si>
  <si>
    <t>ASISTENCIA SOCIAL</t>
  </si>
  <si>
    <t>TOTAL DESARROLLO SOCIAL</t>
  </si>
  <si>
    <t>EQUIPO DE TRANSPORTE</t>
  </si>
  <si>
    <t>EQUIPO DE COMPUTO</t>
  </si>
  <si>
    <t>EDIFICIOS PUBLICOS</t>
  </si>
  <si>
    <t>EQUIPO DE OFICINA</t>
  </si>
  <si>
    <t>EQUIPO PESADO</t>
  </si>
  <si>
    <t>TOTAL MTTO. CONSERV. ACTIVOS</t>
  </si>
  <si>
    <t>BIENES MUEBLES</t>
  </si>
  <si>
    <t>BIENES INMUEBLES</t>
  </si>
  <si>
    <t>TOTAL ADQUISICIONES</t>
  </si>
  <si>
    <t>DESARROLLO URBANO Y ECOLOGIA</t>
  </si>
  <si>
    <t>OBRAS PUBLICAS DIRECTAS</t>
  </si>
  <si>
    <t>OBRAS DE COPARTICIPACION</t>
  </si>
  <si>
    <t>ECOLOGIA</t>
  </si>
  <si>
    <t>TOTAL DESARROLLO URB. Y ECOLOG</t>
  </si>
  <si>
    <t>FONDO DE FORTALECIMIENTO MUNICIPAL</t>
  </si>
  <si>
    <t>GASTOS FINANCIEROS</t>
  </si>
  <si>
    <t>PAGO DE OBLIGACIONES</t>
  </si>
  <si>
    <t>TOTAL GASTOS FINANCIEROS</t>
  </si>
  <si>
    <t>TOTAL EGRESOS</t>
  </si>
  <si>
    <t xml:space="preserve">ANALISIS DE DISPONIBILIDAD </t>
  </si>
  <si>
    <t>CUENTAS BANCARIAS</t>
  </si>
  <si>
    <t>NOMBRE DE LA INSTITUCION</t>
  </si>
  <si>
    <t>No. DE CUENTA</t>
  </si>
  <si>
    <t>SALDO</t>
  </si>
  <si>
    <t>SUMA</t>
  </si>
  <si>
    <t>RESPONSABLE</t>
  </si>
  <si>
    <t>DESCRIPCION</t>
  </si>
  <si>
    <t>MONTO</t>
  </si>
  <si>
    <t>NOMBRE DEL DEUDOR</t>
  </si>
  <si>
    <t>No. DE DOCTO.</t>
  </si>
  <si>
    <t>NOMBRE DEL ACREEDOR</t>
  </si>
  <si>
    <t>DEPARTAMENTO</t>
  </si>
  <si>
    <t>NOMBRE DEL RESGUARDANTE</t>
  </si>
  <si>
    <t>No. DE RESG.</t>
  </si>
  <si>
    <t>No. DE INVENT.</t>
  </si>
  <si>
    <t>INVENTARIO DE BIENES MUEBLES</t>
  </si>
  <si>
    <t>Aum. de Valor y Mej. Específica de la Propiedad</t>
  </si>
  <si>
    <t>Recargos y Accesorios</t>
  </si>
  <si>
    <t>Impuesto sobre Automóviles Nuevos</t>
  </si>
  <si>
    <t>Limpia Municipal</t>
  </si>
  <si>
    <t>Panteones Municipales</t>
  </si>
  <si>
    <t>Educación</t>
  </si>
  <si>
    <t>Equipo de Cómputo</t>
  </si>
  <si>
    <t>FONDO DE INFRAESTRUCTURA SOCIAL MPAL.</t>
  </si>
  <si>
    <t>Progr. Rehabilitación y Mtto. de Escuelas</t>
  </si>
  <si>
    <t>Crédito a la Palabra</t>
  </si>
  <si>
    <t>Progr. Integr. Abatir Rez. Educ. (PIARE)</t>
  </si>
  <si>
    <t>Progr. Abat. Rez. Educ. Inic. y Bás. (PAREIB)</t>
  </si>
  <si>
    <t>Bancos</t>
  </si>
  <si>
    <t>Banobras</t>
  </si>
  <si>
    <t>Arrendamiento Financiero</t>
  </si>
  <si>
    <t>Fondo para el Reord. Comercio Urbano</t>
  </si>
  <si>
    <t>Control Vehícular</t>
  </si>
  <si>
    <t>Impuesto Esp. sobre Producción y Servicios</t>
  </si>
  <si>
    <t>Equipo Pesado</t>
  </si>
  <si>
    <t>Rehabilitación y Mantenimiento Escuelas</t>
  </si>
  <si>
    <t>OTRAS APORTACIONES</t>
  </si>
  <si>
    <t>Adquisición de Inmuebles</t>
  </si>
  <si>
    <t>Diversiones y Espectáculos Públicos</t>
  </si>
  <si>
    <t>Juegos Permitidos</t>
  </si>
  <si>
    <t>Aum. de Valor y Mej. Específica de la Prop.</t>
  </si>
  <si>
    <t>Cooperación para Obras Públicas</t>
  </si>
  <si>
    <t>Servicios Públicos</t>
  </si>
  <si>
    <t>Construcciones y Urbanizaciones</t>
  </si>
  <si>
    <t>Certi., Aut., Const. y Registros</t>
  </si>
  <si>
    <t>Inscripción y Refrendo</t>
  </si>
  <si>
    <t>Revisión, Inspección y Servicios</t>
  </si>
  <si>
    <t>Limpieza de Lotes Baldíos</t>
  </si>
  <si>
    <t>Limpia y Rec. de Des. Indus. y Com.</t>
  </si>
  <si>
    <t>Ocupación de la Vía Pública</t>
  </si>
  <si>
    <t>Créditos a favor del Municipio</t>
  </si>
  <si>
    <t>Establecimientos o Emp. que dep. del Mpio.</t>
  </si>
  <si>
    <t>Venta de Bienes Mostrencos</t>
  </si>
  <si>
    <t>Depósito de Escombros y Desechos Veg.</t>
  </si>
  <si>
    <t>Vta. de Impresos, Formatos y Papel Esp.</t>
  </si>
  <si>
    <t>Eventos Municipales</t>
  </si>
  <si>
    <t>Cauciones cuya pérdida se dec. fav. Mpio.</t>
  </si>
  <si>
    <t>MTTO. Y CONSERVACION ACTIVOS</t>
  </si>
  <si>
    <t>Obras por Coparticipación</t>
  </si>
  <si>
    <t>Establecimientos o Emp. que dependan del Municipio</t>
  </si>
  <si>
    <t>Venta de Obj. recogidos por Dep. de la Admón. Mpal.</t>
  </si>
  <si>
    <t>Depósito de Escombros y Desechos Vegetales</t>
  </si>
  <si>
    <t>Venta de Impresos, Formatos y Papel Especial</t>
  </si>
  <si>
    <t>Cauciones cuya pérdida se declare en favor del Municipio.</t>
  </si>
  <si>
    <t>Fondo para el Reordenamiento del Comercio Urbano</t>
  </si>
  <si>
    <t>Impuesto Especial sobre Producción y Servicios</t>
  </si>
  <si>
    <t>Programa de Rehabilitación y Mantenimiento de Escuelas</t>
  </si>
  <si>
    <t>CUADRO ANALITICO DE RECAUDACION DEL FONDO PARA EL  FORTALECIMIENTO MUNICIPAL</t>
  </si>
  <si>
    <t>Contribución de Vecinos</t>
  </si>
  <si>
    <t>CUADRO ANALITICO DEL FONDO PARA EL FORTALECIMIENTO MUNICIPAL</t>
  </si>
  <si>
    <t>SALDO FINAL</t>
  </si>
  <si>
    <t>Vta. de Obj. Rec. Dptos. Admón.. Mpal.</t>
  </si>
  <si>
    <t>FONDO DE INFRAESTRUCTURA SOCIAL MUNICIPAL</t>
  </si>
  <si>
    <t>CUADRO ANALITICO DE RECAUDACION DEL FONDO DE INFRAESTRUCTURA SOCIAL MUNICIPAL</t>
  </si>
  <si>
    <t>PRESUPUESTO DE INGRESOS</t>
  </si>
  <si>
    <t>INGRESOS REALES</t>
  </si>
  <si>
    <t>PRESUPUESTO DE EGRESOS</t>
  </si>
  <si>
    <t>EGRESOS REALES</t>
  </si>
  <si>
    <t>RESUMEN DE CUENTAS POR COBRAR</t>
  </si>
  <si>
    <t>DISPONIBILIDAD CUENTAS BANCARIAS</t>
  </si>
  <si>
    <t>/DEUDOR</t>
  </si>
  <si>
    <t>INVENTARIO DE BIENES INMUEBLES</t>
  </si>
  <si>
    <t xml:space="preserve">No. DE </t>
  </si>
  <si>
    <t>EXPEDIENTE</t>
  </si>
  <si>
    <t>USO</t>
  </si>
  <si>
    <t>SUPERFICIE</t>
  </si>
  <si>
    <t>CUADRO ANALITICO DE RECAUDACION DE FONDOS DESCENTRALIZADOS</t>
  </si>
  <si>
    <t>Fondos Descentralizados</t>
  </si>
  <si>
    <t>CUADRO ANALITICO DE RECAUDACION DE OTRAS APORTACIONES</t>
  </si>
  <si>
    <t>Arrendamiento o Explotación de Bienes Muebles e Inmuebles</t>
  </si>
  <si>
    <t xml:space="preserve">DISPONIBILIDAD FONDOS FIJOS </t>
  </si>
  <si>
    <t>FONDOS FIJOS</t>
  </si>
  <si>
    <t>FONDOS DESCENTRALIZADOS</t>
  </si>
  <si>
    <t>TOTAL OTRAS APORTACIONES</t>
  </si>
  <si>
    <t>CREDITO A LA PALABRA</t>
  </si>
  <si>
    <t>INTEGRAL PARA ABATIR REZAGO EDUC. (PIARE)</t>
  </si>
  <si>
    <t>REHABILITACION Y MANTENIMIENTO ESCUELAS</t>
  </si>
  <si>
    <t>ABATIR REZAGO EDUC. INICIAL Y BASICA (PAREIB)</t>
  </si>
  <si>
    <t>TOTAL OTROS FONDOS</t>
  </si>
  <si>
    <t>CUADRO ANALITICO DE FINANCIAMIENTO</t>
  </si>
  <si>
    <t>PROGR. REHABILIT. Y MTTO. ESCUELAS</t>
  </si>
  <si>
    <t>PROGR. INTEGRAL ABATIR REZAGO EDUC (PIARE)</t>
  </si>
  <si>
    <t>PROGR. ABATIR REZ. EDUC. INIC. Y BASICA (PAREIB)</t>
  </si>
  <si>
    <t>MODIFICACIONES</t>
  </si>
  <si>
    <t>MODIFICADO</t>
  </si>
  <si>
    <t>ACLARACIONES</t>
  </si>
  <si>
    <t>TOTAL DE CONTRIB. NVOS. FRACC.</t>
  </si>
  <si>
    <t>CONTRIBUCIONES NUEVOS FRACC.</t>
  </si>
  <si>
    <t>BANCOS</t>
  </si>
  <si>
    <t>BANOBRAS</t>
  </si>
  <si>
    <t>ARRENDAMIENTO FINANCIERO</t>
  </si>
  <si>
    <t>CUENTAS POR COBRAR</t>
  </si>
  <si>
    <t>CUENTAS POR PAGAR</t>
  </si>
  <si>
    <t>DISPONIBILIDAD CUENTAS POR COBRAR</t>
  </si>
  <si>
    <t>DISPONIBILIDAD CUENTAS POR PAGAR</t>
  </si>
  <si>
    <t>DESAFECTACIONES</t>
  </si>
  <si>
    <t>DECRETO</t>
  </si>
  <si>
    <t>FECHA</t>
  </si>
  <si>
    <t>CHEQUE</t>
  </si>
  <si>
    <t>DESTINO</t>
  </si>
  <si>
    <t>EJERCICIO DEL RECURSO</t>
  </si>
  <si>
    <t>APROBACION</t>
  </si>
  <si>
    <t>RECARGOS Y ACCESORIOS</t>
  </si>
  <si>
    <t>CREDITOS A FAVOR DEL MUNICIPIO</t>
  </si>
  <si>
    <t>VENTA DE BIENES MOSTRENCOS</t>
  </si>
  <si>
    <t>VTA. OBJ. RECOG. POR DEP. DE LA ADMON. MPAL.</t>
  </si>
  <si>
    <t>DEPOSITO  ESCOMBROS Y DESECHOS VEGETALES</t>
  </si>
  <si>
    <t>VENTA  IMPRESOS, FORMATOS Y PAPEL ESPECIAL</t>
  </si>
  <si>
    <t>EVENTOS MUNICIPALES</t>
  </si>
  <si>
    <t>SUBSIDIOS</t>
  </si>
  <si>
    <t>INDEMNIZACIONES</t>
  </si>
  <si>
    <t>TENENCIA</t>
  </si>
  <si>
    <t>IMPUESTO SOBRE AUTOMOVILES NUEVOS</t>
  </si>
  <si>
    <t xml:space="preserve"> FONDOS DESCENTRALIZADOS</t>
  </si>
  <si>
    <t>ADMINISTRACION DE LA FUNCION PUBLICA</t>
  </si>
  <si>
    <t>GASTOS DE LA FUNCION</t>
  </si>
  <si>
    <t>TOTAL ADMINISTRACION PUBLICA</t>
  </si>
  <si>
    <t>FOMENTO AL DEPORTE</t>
  </si>
  <si>
    <t>APORTACIONES A CENTROS ASISTENCIALES</t>
  </si>
  <si>
    <t>Limpia y Recolección de Desechos Industriales y Comerciales</t>
  </si>
  <si>
    <t>Expedición de Licencias</t>
  </si>
  <si>
    <t>Inscripciones y Refrendo</t>
  </si>
  <si>
    <t>Certificaciones., Autorizaciones, Constancias y Registros</t>
  </si>
  <si>
    <t>ADQUISICION DE INMUEBLES</t>
  </si>
  <si>
    <t>DIVERSIONES Y ESPECTACULOS PUBLICOS</t>
  </si>
  <si>
    <t>COOPERACION PARA OBRAS PUBLICAS</t>
  </si>
  <si>
    <t>SERVICIOS PUBLICOS</t>
  </si>
  <si>
    <t>CONSTRUCCIONES Y URBANIZACIONES</t>
  </si>
  <si>
    <t>CERTIF. AUT. CONST. Y REGISTROS</t>
  </si>
  <si>
    <t>INSCRIPCIONES Y REFRENDO</t>
  </si>
  <si>
    <t>REVISION, INSPECCION Y SERVICIOS</t>
  </si>
  <si>
    <t>EXPEDICION DE LICENCIAS</t>
  </si>
  <si>
    <t>LIMPIEZA DE LOTES BALDIOS</t>
  </si>
  <si>
    <t>LIMPIA Y RECOLECCION DES.  INDUS. Y COM.</t>
  </si>
  <si>
    <t>OCUPACION DE LA VIA PUBLICA</t>
  </si>
  <si>
    <t>CUADRO ANALITICO DE CONTRIBUCIONES NUEVOS FRACCIONAMIENTOS</t>
  </si>
  <si>
    <t>CONTRIBUCIONES POR  NUEVOS FRACCIONAMIENTOS, EDIFICACIONES, PARCELACIONES, RELOTIFICACIONES Y  SUBDIVICIONES PREVISTAS EN LA L.O.T.A.H.D.U.E.</t>
  </si>
  <si>
    <t>Construcción de Nuevas Edificaciones</t>
  </si>
  <si>
    <t>Relotificaciones o Subdivisiones</t>
  </si>
  <si>
    <t>Aportación Federal</t>
  </si>
  <si>
    <t>Apoyo a la Vivienda</t>
  </si>
  <si>
    <t>Programa en Nuevo León Decidimos Todos</t>
  </si>
  <si>
    <t>Programa Iluminación Total</t>
  </si>
  <si>
    <t>Programa de Obras por Conducto de Municipios</t>
  </si>
  <si>
    <t>Gobierno del Estado (Programa Estatal de Inversión)</t>
  </si>
  <si>
    <t>FRACCIONAMIENTOS FUNERARIOS O CEMENTERIOS</t>
  </si>
  <si>
    <t>RELOTIFICACIONES O SUBDIVISIONES</t>
  </si>
  <si>
    <t>Consumo de Combustible</t>
  </si>
  <si>
    <t>Estímulos a la Educación Básica</t>
  </si>
  <si>
    <t>OBLIGACIONES FINANCIERAS</t>
  </si>
  <si>
    <t>Fondo Desastres Naturales</t>
  </si>
  <si>
    <t>Nuevo León Decidimos Todos</t>
  </si>
  <si>
    <t>Iluminación Total</t>
  </si>
  <si>
    <t>Gobierno del Estado (Programa Estatal del Inversión)</t>
  </si>
  <si>
    <t>Programa Fondo Desastres Naturales</t>
  </si>
  <si>
    <t>CONTRIBUCIONES POR NUEVOS FRACCIONAMIENTOS, EDIFICACIONES, PARCELACIONES, RELOTIFICACIONES Y SUBDIVISIONES PREVISTAS EN LA L.O.T.A.H.D.U.E.</t>
  </si>
  <si>
    <t>CONSTRUCCION DE NUEVAS EDIFICACIONES</t>
  </si>
  <si>
    <t>ARRENDAMIENTO O EXPLOTACION DE BIENES MUEB. E INMUEB.</t>
  </si>
  <si>
    <t>ENAJENACION DE BIENES MUEBLES O INMUEBLES</t>
  </si>
  <si>
    <t>ESTABLECIMIENTOS O EMPRESAS QUE DEPENDEN DEL MPIO.</t>
  </si>
  <si>
    <t>CAUCIONES CUYA PERDIDA SE DECLARE A FAVOR DEL  MPIO.</t>
  </si>
  <si>
    <t>IMPUESTO ESPECIAL SOBRE PRODUCCION Y SERVICIOS</t>
  </si>
  <si>
    <t>APORTACION FEDERAL</t>
  </si>
  <si>
    <t>TOTAL DE FONDO DE INFRAESTRUCTURA</t>
  </si>
  <si>
    <t>TOTAL DE FONDO DE FORTALECIMIENTO</t>
  </si>
  <si>
    <t>FONDO DESCENTRALIZADOS</t>
  </si>
  <si>
    <t>TOTAL DE FONDOS DESCENTRALIZADOS</t>
  </si>
  <si>
    <t>APOYO A LA VIVIENDA</t>
  </si>
  <si>
    <t>GOBIERNO DEL ESTADO (PROGRAMA ESTATAL DE INVERSION)</t>
  </si>
  <si>
    <t>PROGRAMA FONDO DE DESASTRES NATURALES</t>
  </si>
  <si>
    <t>PROGRAMA EN NUEVO LEON DECIDIMOS TODOS</t>
  </si>
  <si>
    <t>PROGRAMA ILUMINACION TOTAL</t>
  </si>
  <si>
    <t>PROGRAMA DE OBRAS POR CONDUCTO DE MUNICIPIOS</t>
  </si>
  <si>
    <t>MANTENIMIENTO CONSERVACION DE ACTIVOS</t>
  </si>
  <si>
    <t>FONDO DE INFRAESTRUCTURA MUNICIPAL</t>
  </si>
  <si>
    <t>ESTIMULOS A LA EDUCACION BASICA</t>
  </si>
  <si>
    <t>TOTAL FONDO DE INFRAESTRUCTURA</t>
  </si>
  <si>
    <t>TOTAL FONDO DE FORTALECIMIENTO</t>
  </si>
  <si>
    <t>CUADRO ANALITICO OBLIGACIONES FINANCIERAS</t>
  </si>
  <si>
    <t>ANALISIS PRESUPUESTARIO DE EGRESOS</t>
  </si>
  <si>
    <t>CUADRO RESUMEN DE MODIFICACIONES PRESUPUESTALES</t>
  </si>
  <si>
    <t>Fraccionamientos Funerarios o Cementerios</t>
  </si>
  <si>
    <t>CUADRO ANALITICO DE RECAUDACION DE CONTRIBUCION DE VECINOS</t>
  </si>
  <si>
    <t>MANTENIMIENTO Y CONSERVACION DE ACTIVOS</t>
  </si>
  <si>
    <t>CUADRO ANALITICO DE ADMINISTRACION PUBLICA</t>
  </si>
  <si>
    <t>CUADRO ANALITICO DE MANTENIMIENTO Y CONSERVACION DE ACTIVOS</t>
  </si>
  <si>
    <t>CUADRO ANALITICO DE DESARROLLO URBANO Y ECOLOGIA</t>
  </si>
  <si>
    <t>ESTADO DE ORIGEN Y APLICACION DE RECURSOS</t>
  </si>
  <si>
    <t>FONDO REORDENAMIENTO DEL COMERCIO URBANO</t>
  </si>
  <si>
    <t>CONSUMO DE COMBUSTIBLE</t>
  </si>
  <si>
    <t>Programa Compensatorio UIE</t>
  </si>
  <si>
    <t>Programa Integral para Abatir el Rezago Educativo (PIARE)</t>
  </si>
  <si>
    <t>Progr. para Abatir el Rezago de Educ. Inicial y Básica (PAREIB)</t>
  </si>
  <si>
    <t>Préstamos de Gobierno</t>
  </si>
  <si>
    <t>Integral para Abatir Rezago educativo(PIARE)</t>
  </si>
  <si>
    <t>Abatir Rezago Educ. Inicial y Básica (PAREIB)</t>
  </si>
  <si>
    <t>PROGRAMA COMPENSATORIO UIE</t>
  </si>
  <si>
    <t>PRESTAMOS DE GOBIERNO</t>
  </si>
  <si>
    <t>RESUMEN DE DEUDA PUBLICA</t>
  </si>
  <si>
    <t>CUADRO ANALITICO DE OTROS (APLICACION DE OTRAS APORTACIONES)</t>
  </si>
  <si>
    <t>CUADRO ANALITICO DE RECAUDACION DE DERECHOS</t>
  </si>
  <si>
    <t>OTROS (APLICACION DE OTRAS APORTACIONES)</t>
  </si>
  <si>
    <t>UBICACION</t>
  </si>
  <si>
    <t>Otros Egresos</t>
  </si>
  <si>
    <t>Eventos Especiales</t>
  </si>
  <si>
    <t>Sueldos</t>
  </si>
  <si>
    <t>Amortización Participaciones</t>
  </si>
  <si>
    <t>Amortización de Participaciones</t>
  </si>
  <si>
    <t>SUELDOS</t>
  </si>
  <si>
    <t>UNIFORMES</t>
  </si>
  <si>
    <t>AMORTIZACION PARTICIPACIONES</t>
  </si>
  <si>
    <t>OTROS EGRESOS</t>
  </si>
  <si>
    <t>EVENTOS ESPECIALES</t>
  </si>
  <si>
    <t>MUNICIPIO DE APODACA, N.L.</t>
  </si>
  <si>
    <t>Pago Arrendamiento Financiero</t>
  </si>
  <si>
    <t>PAGO ARRENDAMIENTO FINANCIERO</t>
  </si>
  <si>
    <t>CUOTAS DEL SINDICATO</t>
  </si>
  <si>
    <t>BECAS COPUSI</t>
  </si>
  <si>
    <t>MANUTENCION</t>
  </si>
  <si>
    <t>AYUDA DEFUNCIONES</t>
  </si>
  <si>
    <t>IMPULSORA ELIZONDO</t>
  </si>
  <si>
    <t>EMME</t>
  </si>
  <si>
    <t>I.S.P.T. POR PAGAR</t>
  </si>
  <si>
    <t>RET. 10% ARRENDAMIENTO</t>
  </si>
  <si>
    <t>ASOCIACION GILBERTO</t>
  </si>
  <si>
    <t>ISCAS POR PAGAR</t>
  </si>
  <si>
    <t>ACREEDORES DIVERSOS</t>
  </si>
  <si>
    <t>IMPUESTO PREDIAL PRESENTE AÑO</t>
  </si>
  <si>
    <t>IMPUESTO PREDIAL REZAGO</t>
  </si>
  <si>
    <t xml:space="preserve">MULTAS </t>
  </si>
  <si>
    <t xml:space="preserve">  *SE ANEXA CD</t>
  </si>
  <si>
    <t xml:space="preserve"> MUEBLES </t>
  </si>
  <si>
    <t xml:space="preserve"> VA INCLUIDO EN EL CD DE BIENES</t>
  </si>
  <si>
    <t>RET 10% SERV. PROFESIONALES</t>
  </si>
  <si>
    <t>MUNICIPIO DE APODACA, NUEVO LEON</t>
  </si>
  <si>
    <t>ESTADO DE ORIGEN Y APLICACIÓN DE RECURSOS RESUMIDO</t>
  </si>
  <si>
    <t>$</t>
  </si>
  <si>
    <t>MAS:</t>
  </si>
  <si>
    <t>SUBTOTAL</t>
  </si>
  <si>
    <t>MENOS:</t>
  </si>
  <si>
    <t>EGRESOS</t>
  </si>
  <si>
    <t>ESTABLECIMIENTOS CON VENTA DE BEBIDAS ALCOHOLICAS</t>
  </si>
  <si>
    <t>Otras Aportaciones Devolución FONDEN y Administración Directa</t>
  </si>
  <si>
    <t>Centro de Desarrollo Infantil</t>
  </si>
  <si>
    <t>CENTRO DE DESARROLLO INFANTIL</t>
  </si>
  <si>
    <t>Financiamiento Obra Publica</t>
  </si>
  <si>
    <t>Pago Financiamiento Obra Pública</t>
  </si>
  <si>
    <t>DOCUMENTOS POR COBRAR</t>
  </si>
  <si>
    <t>DEUDORES DIVERSOS</t>
  </si>
  <si>
    <t xml:space="preserve">  EMPLEADOS                             </t>
  </si>
  <si>
    <t xml:space="preserve">  D D PRESIDENCIA                         </t>
  </si>
  <si>
    <t xml:space="preserve">  FOMERREY</t>
  </si>
  <si>
    <t xml:space="preserve">GASTOS POR COMPROBAR      </t>
  </si>
  <si>
    <t>CHEQUES DEVUELTOS</t>
  </si>
  <si>
    <t>DAÑOS A PATRIMONIO</t>
  </si>
  <si>
    <t>INVENTARIO FARMACIA</t>
  </si>
  <si>
    <t xml:space="preserve">  CAJA BANORTE PREDIAL</t>
  </si>
  <si>
    <t xml:space="preserve">  CAJA BANCOMER PREDIAL</t>
  </si>
  <si>
    <t>OPTICA YAHIR</t>
  </si>
  <si>
    <t>Fondo PYME 2006</t>
  </si>
  <si>
    <t>FINANCIAMIENTO OBRA PUBLICA</t>
  </si>
  <si>
    <t>Premio al Mejor Policía</t>
  </si>
  <si>
    <t>Piso y Techo Firme del Adulto Mayor</t>
  </si>
  <si>
    <t>CONTRIBUCIONES POR  NUEVOS FRACCIONAMIENTOS, EDIFICACIONES, PARCELACIONES, RELOTIFICACIONES Y  SUBDIVISIONES PREVISTAS EN LA L.O.T.A.H.D.U.E.</t>
  </si>
  <si>
    <t>CENDIS</t>
  </si>
  <si>
    <t>SERVICIOS PERSONALES</t>
  </si>
  <si>
    <t>TIEMPO EXTRA</t>
  </si>
  <si>
    <t>PRIMA VACACIONAL</t>
  </si>
  <si>
    <t>AGUINALDO</t>
  </si>
  <si>
    <t>PRESTACIONES</t>
  </si>
  <si>
    <t>DESPENSAS</t>
  </si>
  <si>
    <t>MEDICAMENTOS</t>
  </si>
  <si>
    <t>HOSPITALIZACIONES</t>
  </si>
  <si>
    <t>BECAS</t>
  </si>
  <si>
    <t>SERVICIOS GENERALES</t>
  </si>
  <si>
    <t>APOYOS</t>
  </si>
  <si>
    <t>EVENTOS</t>
  </si>
  <si>
    <t>POSADAS NAVIDEÑAS</t>
  </si>
  <si>
    <t>EVENTOS CULTURALES</t>
  </si>
  <si>
    <t>EVENTOS DEPORTIVOS</t>
  </si>
  <si>
    <t>MATERIALES Y SUMINISTROS</t>
  </si>
  <si>
    <t>REFACCIONES</t>
  </si>
  <si>
    <t>Fondo PYME 2005</t>
  </si>
  <si>
    <t>Gobierno del Estado</t>
  </si>
  <si>
    <t>Fondo de Desarrollo Municipal</t>
  </si>
  <si>
    <t>FONDO DE DESARROLLO MUNICIPAL</t>
  </si>
  <si>
    <t>Financiamiento Adquisiciones</t>
  </si>
  <si>
    <t>FINANCIAMIENTO ADQUISICIONES</t>
  </si>
  <si>
    <t xml:space="preserve">  PARQUE KALOS</t>
  </si>
  <si>
    <t xml:space="preserve">  DEUDORES DIVERSOS</t>
  </si>
  <si>
    <t>OPTI-K CLARA VISION</t>
  </si>
  <si>
    <t>SEGUROS DE VIDA</t>
  </si>
  <si>
    <t>ISR RETENIDO</t>
  </si>
  <si>
    <t>Fondo de Fiscalización</t>
  </si>
  <si>
    <t>FONDO DE FISCALIZACION</t>
  </si>
  <si>
    <t>Fondo de Ultracrecimiento</t>
  </si>
  <si>
    <t>Subsemun</t>
  </si>
  <si>
    <t>Fondo Especial</t>
  </si>
  <si>
    <t>FONDO DE ULTRACRECIMIENTO</t>
  </si>
  <si>
    <t>SUBSEMUN</t>
  </si>
  <si>
    <t>FONDO ESPECIAL</t>
  </si>
  <si>
    <t>Gasolina y Diesel</t>
  </si>
  <si>
    <t>GASOLINA Y DIESEL</t>
  </si>
  <si>
    <t>Desarrollo Social</t>
  </si>
  <si>
    <t>Desarrollo Urbano de Nuevo León</t>
  </si>
  <si>
    <t>Desarrollo Urbano de NL</t>
  </si>
  <si>
    <t>DESARROLLO URBANO DE NL</t>
  </si>
  <si>
    <t>D.S. Espacios Publicos</t>
  </si>
  <si>
    <t>D.S. Espacios Públicos</t>
  </si>
  <si>
    <t>D.S. ESPACIOS PUBLICOS</t>
  </si>
  <si>
    <t xml:space="preserve">SEPTIEMBRE </t>
  </si>
  <si>
    <t>Pago de Financiamiento</t>
  </si>
  <si>
    <t>PAGO DE FINANCIAMIENTO</t>
  </si>
  <si>
    <t>Instituto de la Mujer</t>
  </si>
  <si>
    <t>INSTITUTO DE LA MUJER</t>
  </si>
  <si>
    <t>Inereses infra 2007</t>
  </si>
  <si>
    <t>intereses forta 2008</t>
  </si>
  <si>
    <t>intereses infra 2009</t>
  </si>
  <si>
    <t>intereses infra 2008</t>
  </si>
  <si>
    <t>intereses forta 2007</t>
  </si>
  <si>
    <t>intereses forta 2009</t>
  </si>
  <si>
    <t>CONADE</t>
  </si>
  <si>
    <t>Intereses infra 2007</t>
  </si>
  <si>
    <t>Intereses infra 2008</t>
  </si>
  <si>
    <t>Intereses infra 2009</t>
  </si>
  <si>
    <t>Intereses forta 2007</t>
  </si>
  <si>
    <t>Intereses forta 2008</t>
  </si>
  <si>
    <t>Intereses forta 2009</t>
  </si>
  <si>
    <t>INTERESES INFRA 2007</t>
  </si>
  <si>
    <t>INTERESES INFRA 2008</t>
  </si>
  <si>
    <t>INTERESES INFRA 2009</t>
  </si>
  <si>
    <t>INTERESES FORTA 2007</t>
  </si>
  <si>
    <t>INTERESES FORTA 2008</t>
  </si>
  <si>
    <t>INTERESES FORTA 2009</t>
  </si>
  <si>
    <t>Obras Públicas por Contrato</t>
  </si>
  <si>
    <t>OBRAS PUBLICAS POR CONTRATO</t>
  </si>
  <si>
    <t>Gastos Financieros 2008</t>
  </si>
  <si>
    <t>Gastos Financieros 2009</t>
  </si>
  <si>
    <t>Obras 2008</t>
  </si>
  <si>
    <t>Obras 2009</t>
  </si>
  <si>
    <t>GASTOS FINANCIEROS 2008</t>
  </si>
  <si>
    <t>GASTOS FINANCIEROS 2009</t>
  </si>
  <si>
    <t>OBRAS 2008</t>
  </si>
  <si>
    <t>OBRAS 2009</t>
  </si>
  <si>
    <t>Uniformes y Gastos de Función 2009</t>
  </si>
  <si>
    <t>Bomberos 2009</t>
  </si>
  <si>
    <t>Mantenimiento de Vehiculos 2009</t>
  </si>
  <si>
    <t>Adquisiciones 2009</t>
  </si>
  <si>
    <t>Adquisiciones 2008</t>
  </si>
  <si>
    <t>Uniformes y Gastos de Función 2008</t>
  </si>
  <si>
    <t>Bomberos 2008</t>
  </si>
  <si>
    <t>Mantenimiento de Vehiculos 2008</t>
  </si>
  <si>
    <t>Mantenimiento de Vehículos 2008</t>
  </si>
  <si>
    <t>Mantenimiento de Vehículos 2009</t>
  </si>
  <si>
    <t>UNIFORMES Y GASTOS DE FUNCION 2008</t>
  </si>
  <si>
    <t>UNIFORMES Y GASTOS DE FUNCION 2009</t>
  </si>
  <si>
    <t>BOMBEROS 2008</t>
  </si>
  <si>
    <t>BOMBEROS 2009</t>
  </si>
  <si>
    <t>MANTENIMIENTO DE VEHICULOS 2008</t>
  </si>
  <si>
    <t>MANTENIMIENTO DE VEHICULOS 2009</t>
  </si>
  <si>
    <t>ADQUISICIONES 2008</t>
  </si>
  <si>
    <t>ADQUISICIONES 2009</t>
  </si>
  <si>
    <t>Sueldos (Recursos Propios)</t>
  </si>
  <si>
    <t>SUELDOS (RECURSOS PROPIOS)</t>
  </si>
  <si>
    <t>Programa de Obras por Conducto de Municipios 2009</t>
  </si>
  <si>
    <t>Fondo de Desarrollo Municipal 2009</t>
  </si>
  <si>
    <t>Fondo de Ultracrecimiento 2009</t>
  </si>
  <si>
    <t>Subsemun 2009</t>
  </si>
  <si>
    <t>D.S. Espacios Publicos 2009</t>
  </si>
  <si>
    <t>D.S. Espacios Públicos 2009</t>
  </si>
  <si>
    <t>Intereses, Comisiones y Otros</t>
  </si>
  <si>
    <t>Pago de Obligaciones (Prestamos Bancarios)</t>
  </si>
  <si>
    <t>Pago de Obligaciones (Préstamos Bancarios)</t>
  </si>
  <si>
    <t>PROGRAMA DE OBRAS POR CONDUCTO DE MUNICIPIOS 2009</t>
  </si>
  <si>
    <t>FONDO DE DESARROLLO MUNICIPAL 2009</t>
  </si>
  <si>
    <t>FONDO DE ULTRACRECIMIENTO 2009</t>
  </si>
  <si>
    <t>SUBSEMUN 2009</t>
  </si>
  <si>
    <t>D.S. ESPACIOS PUBLICOS 2009</t>
  </si>
  <si>
    <t>Fondo Metropolitano</t>
  </si>
  <si>
    <t>FONDO METROPOLITANO</t>
  </si>
  <si>
    <t>DUNL Regia Metropoli Accesibilidad Total</t>
  </si>
  <si>
    <t>Programa Tu Casa 2007</t>
  </si>
  <si>
    <t>PROGRAMA TU CASA 2007</t>
  </si>
  <si>
    <t>Nota.- Se dan de alta nuevos conceptos así como</t>
  </si>
  <si>
    <t>desglose por ejercicios.</t>
  </si>
  <si>
    <t>INTERESES, COMISIONES Y OTROS</t>
  </si>
  <si>
    <t>Electricidad 2007</t>
  </si>
  <si>
    <t>Electricidad 2009</t>
  </si>
  <si>
    <t>ELECTRICIDAD 2007</t>
  </si>
  <si>
    <t>ELECTRICIDAD 2009</t>
  </si>
  <si>
    <t>Subsemun Aportación Municipal</t>
  </si>
  <si>
    <t>Aportación SUBSEMUN</t>
  </si>
  <si>
    <t xml:space="preserve">Aportación SUBSEMUN </t>
  </si>
  <si>
    <t>APORTACION SUBSEMUN 2009</t>
  </si>
  <si>
    <t>SUBSEMUN APORTACION MUNICIPAL</t>
  </si>
  <si>
    <t>Fondo Metropolitano 2009</t>
  </si>
  <si>
    <t>FONDO METROPOLITANO 2009</t>
  </si>
  <si>
    <t>Obras 2007</t>
  </si>
  <si>
    <t>Gastos Financieros 2007</t>
  </si>
  <si>
    <t>Mantenimiento Edificio de Seguridad Pública</t>
  </si>
  <si>
    <t>Mantenimiento Edificio de Seguridad Publica</t>
  </si>
  <si>
    <t>Mantenimiento Edificio de  Seg Publica</t>
  </si>
  <si>
    <t>GASTOS FINANCIEROS 2007</t>
  </si>
  <si>
    <t>OBRAS 2007</t>
  </si>
  <si>
    <t>MANTENIMIENTO EDIFICIO DE SEGURIDAD PUBLICA</t>
  </si>
  <si>
    <t>Obras 2006</t>
  </si>
  <si>
    <t>OBRAS 2006</t>
  </si>
  <si>
    <t>DICIEMBRE MODIF</t>
  </si>
  <si>
    <t>SUBSIDIO AL EMPLEO</t>
  </si>
  <si>
    <t>SEGUROS METLIFE</t>
  </si>
  <si>
    <t>GRUPO SENDA</t>
  </si>
  <si>
    <t>I.S.P.T. POR PAGAR DO DECRETO 05 DIC 08</t>
  </si>
  <si>
    <t xml:space="preserve">Fondo PYME </t>
  </si>
  <si>
    <t>Intereses infra 2010</t>
  </si>
  <si>
    <t>Intereses forta 2010</t>
  </si>
  <si>
    <t>Gastos Financieros 2010</t>
  </si>
  <si>
    <t>Obras 2010</t>
  </si>
  <si>
    <t>Adquisiciones 2010</t>
  </si>
  <si>
    <t>Uniformes y Gastos de Función 2010</t>
  </si>
  <si>
    <t>Bomberos 2010</t>
  </si>
  <si>
    <t>Mantenimiento de Vehiculos 2010</t>
  </si>
  <si>
    <t>CONADE 2009</t>
  </si>
  <si>
    <t>Programa de Obras por Conducto de Municipios 2010</t>
  </si>
  <si>
    <t>Fondo de Desarrollo Municipal 2010</t>
  </si>
  <si>
    <t>Fondo de Ultracrecimiento 2010</t>
  </si>
  <si>
    <t>Subsemun 2010</t>
  </si>
  <si>
    <t>Fondos Descentralizados 2010</t>
  </si>
  <si>
    <t>intereses infra 2010</t>
  </si>
  <si>
    <t>intereses forta 2010</t>
  </si>
  <si>
    <t>INTERESES INFRA 2010</t>
  </si>
  <si>
    <t>INTERESES FORTA 2010</t>
  </si>
  <si>
    <t>Fondos descentralizados 2010</t>
  </si>
  <si>
    <t>Mantenimiento de Vehículos 2010</t>
  </si>
  <si>
    <t>GASTOS FINANCIEROS 2010</t>
  </si>
  <si>
    <t>OBRAS 2010</t>
  </si>
  <si>
    <t>UNIFORMES Y GASTOS DE FUNCION 2010</t>
  </si>
  <si>
    <t>BOMBEROS 2010</t>
  </si>
  <si>
    <t>MANTENIMIENTO DE VEHICULOS 2010</t>
  </si>
  <si>
    <t>ADQUISICIONES 2010</t>
  </si>
  <si>
    <t>PROGRAMA DE OBRAS POR CONDUCTO DE MUNICIPIOS 2010</t>
  </si>
  <si>
    <t>FONDO DE DESARROLLO MUNICIPAL 2010</t>
  </si>
  <si>
    <t>FONDO DE ULTRACRECIMIENTO 2010</t>
  </si>
  <si>
    <t>SUBSEMUN 2010</t>
  </si>
  <si>
    <t>Gastos Financieros 2008 y ant</t>
  </si>
  <si>
    <t>Arrendamiento Puro</t>
  </si>
  <si>
    <t>ARRENDAMIENTO PURO</t>
  </si>
  <si>
    <t>Programa Empleo Temporal</t>
  </si>
  <si>
    <t>Inst. Nac de las Mujeres</t>
  </si>
  <si>
    <t>PROGRAMA EMPLEO TEMPORAL</t>
  </si>
  <si>
    <t>INST NACIONAL DE LAS MUJERES</t>
  </si>
  <si>
    <t>Programa Habitat</t>
  </si>
  <si>
    <t>PROGRAMA HABITAT</t>
  </si>
  <si>
    <t>D.S. Espacios Publicos 2010</t>
  </si>
  <si>
    <t>D.S. ESPACIOS PUBLICOS 2010</t>
  </si>
  <si>
    <t>D.S. Espacios Públicos 2010</t>
  </si>
  <si>
    <t>Programa Hábitat</t>
  </si>
  <si>
    <t>FONDEN</t>
  </si>
  <si>
    <t>FOPAM</t>
  </si>
  <si>
    <t>CONAGUA</t>
  </si>
  <si>
    <t>Programa Apazu</t>
  </si>
  <si>
    <t>PROGRAMA APAZU</t>
  </si>
  <si>
    <t>CENTROS CIVICOS</t>
  </si>
  <si>
    <t xml:space="preserve">  GUARDERIA IMSS</t>
  </si>
  <si>
    <t>DEPOSITOS EN GARANTIA  FIDEICOMISO</t>
  </si>
  <si>
    <t>ATTENDO FINANCIERA</t>
  </si>
  <si>
    <t>SUBSIDIO AL EMPLEO DIARIO OFICIAL DECRETO 05 DIC 2008</t>
  </si>
  <si>
    <t xml:space="preserve">NO HUBO DESAFECTACIONES </t>
  </si>
  <si>
    <t>cuenta</t>
  </si>
  <si>
    <t>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</si>
  <si>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</si>
  <si>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</si>
  <si>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</si>
  <si>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</si>
  <si>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</si>
  <si>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</si>
  <si>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</si>
  <si>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</si>
  <si>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</si>
  <si>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</si>
  <si>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</si>
  <si>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</si>
  <si>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ANUAL</t>
  </si>
  <si>
    <t>0502</t>
  </si>
  <si>
    <t>PERC. NORMAL QUINCENA</t>
  </si>
  <si>
    <t>0503</t>
  </si>
  <si>
    <t>0504</t>
  </si>
  <si>
    <t>COMPENSACION</t>
  </si>
  <si>
    <t>0505</t>
  </si>
  <si>
    <t>0506</t>
  </si>
  <si>
    <t>LIQUIDACIONES</t>
  </si>
  <si>
    <t>0507</t>
  </si>
  <si>
    <t xml:space="preserve"> VACACIONES</t>
  </si>
  <si>
    <t>0508</t>
  </si>
  <si>
    <t>BECAS SINDICATO</t>
  </si>
  <si>
    <t>0509</t>
  </si>
  <si>
    <t>PRIMA  DE ANTIGUEDAD</t>
  </si>
  <si>
    <t>0510</t>
  </si>
  <si>
    <t>ISCAS</t>
  </si>
  <si>
    <t>0511</t>
  </si>
  <si>
    <t>BECA ESPECIAL</t>
  </si>
  <si>
    <t>0512</t>
  </si>
  <si>
    <t>0513</t>
  </si>
  <si>
    <t>CUENTA PUENTE PAGO NOMINA</t>
  </si>
  <si>
    <t>0514</t>
  </si>
  <si>
    <t>AJUSTE TRIBUTARIO</t>
  </si>
  <si>
    <t>1535</t>
  </si>
  <si>
    <t>RAMO 33 FAFM ADMON DE LA FUN.</t>
  </si>
  <si>
    <t>1640</t>
  </si>
  <si>
    <t>BONO SUBSEMUN-RS</t>
  </si>
  <si>
    <t>0724</t>
  </si>
  <si>
    <t>INST. DE LA MUJER SUELDOS</t>
  </si>
  <si>
    <t>Total 1</t>
  </si>
  <si>
    <t>0520</t>
  </si>
  <si>
    <t>CONSULTAS MEDICAS</t>
  </si>
  <si>
    <t>0521</t>
  </si>
  <si>
    <t>0522</t>
  </si>
  <si>
    <t>0523</t>
  </si>
  <si>
    <t>LABORATORIO</t>
  </si>
  <si>
    <t>0524</t>
  </si>
  <si>
    <t>RADIOGRAFIAS</t>
  </si>
  <si>
    <t>0525</t>
  </si>
  <si>
    <t>SEGURO DE GASTOS MEDICOS</t>
  </si>
  <si>
    <t>0527</t>
  </si>
  <si>
    <t>MATERIAL  DE CURACION</t>
  </si>
  <si>
    <t>0528</t>
  </si>
  <si>
    <t>LENTES DERECHOHABIENTES</t>
  </si>
  <si>
    <t>0529</t>
  </si>
  <si>
    <t>SERVICIO MEDICO (CTA. PUENTE)</t>
  </si>
  <si>
    <t>0530</t>
  </si>
  <si>
    <t>0531</t>
  </si>
  <si>
    <t>OTRAS PRESTACIONES</t>
  </si>
  <si>
    <t>0532</t>
  </si>
  <si>
    <t>PRESTACIONES AL SINDICATO</t>
  </si>
  <si>
    <t>0534</t>
  </si>
  <si>
    <t>CAPACITACION</t>
  </si>
  <si>
    <t>0535</t>
  </si>
  <si>
    <t>BONOS DE DESPENSA</t>
  </si>
  <si>
    <t>0536</t>
  </si>
  <si>
    <t>ISPT SINDICATO</t>
  </si>
  <si>
    <t>0537</t>
  </si>
  <si>
    <t>SEGURO DE VIDA</t>
  </si>
  <si>
    <t>0725</t>
  </si>
  <si>
    <t>INST. DE LA MUJER GTOS MEDICOS</t>
  </si>
  <si>
    <t>0726</t>
  </si>
  <si>
    <t>INST. DE LA MUJER PRESTACIONES</t>
  </si>
  <si>
    <t>1585</t>
  </si>
  <si>
    <t>RAMO 33 FAFM GASTOS DE FUNCION</t>
  </si>
  <si>
    <t>1600</t>
  </si>
  <si>
    <t>PROFESIONALIZACION</t>
  </si>
  <si>
    <t>Total 2</t>
  </si>
  <si>
    <t>0540</t>
  </si>
  <si>
    <t>POLIZAS DE VEHICULO</t>
  </si>
  <si>
    <t>0541</t>
  </si>
  <si>
    <t>SEGUROS DE OTROS EQUIPOS</t>
  </si>
  <si>
    <t>0550</t>
  </si>
  <si>
    <t>RENTA DE INMUEBLES</t>
  </si>
  <si>
    <t>0559</t>
  </si>
  <si>
    <t>SIMEPRODE</t>
  </si>
  <si>
    <t>0564</t>
  </si>
  <si>
    <t>RED RECOLECTOR</t>
  </si>
  <si>
    <t>0589</t>
  </si>
  <si>
    <t>MTTO. DE ALUMBRADO PUBLICO</t>
  </si>
  <si>
    <t>0591</t>
  </si>
  <si>
    <t>GAS</t>
  </si>
  <si>
    <t>0592</t>
  </si>
  <si>
    <t>0593</t>
  </si>
  <si>
    <t>AGUA</t>
  </si>
  <si>
    <t>0594</t>
  </si>
  <si>
    <t>ALUMBRADO CARRETERAS FEDERALES</t>
  </si>
  <si>
    <t>0595</t>
  </si>
  <si>
    <t>ALUMBRADO PRESIDENCIA</t>
  </si>
  <si>
    <t>0646</t>
  </si>
  <si>
    <t>ATENCION A FUNCIONARIOS</t>
  </si>
  <si>
    <t>0647</t>
  </si>
  <si>
    <t>EMPLEADOS CONSUMO</t>
  </si>
  <si>
    <t>0650</t>
  </si>
  <si>
    <t>PUBLICIDAD</t>
  </si>
  <si>
    <t>0653</t>
  </si>
  <si>
    <t>ANUNCIOS PANORAMICOS</t>
  </si>
  <si>
    <t>0658</t>
  </si>
  <si>
    <t>INTERNET</t>
  </si>
  <si>
    <t>0659</t>
  </si>
  <si>
    <t>TELEFONOS</t>
  </si>
  <si>
    <t>0660</t>
  </si>
  <si>
    <t>GASTOS MENORES</t>
  </si>
  <si>
    <t>0661</t>
  </si>
  <si>
    <t>AUDITORIA</t>
  </si>
  <si>
    <t>0662</t>
  </si>
  <si>
    <t>HONORARIOS A TERCEROS</t>
  </si>
  <si>
    <t>0663</t>
  </si>
  <si>
    <t>SERVICIO DE MENSAJERIA</t>
  </si>
  <si>
    <t>0664</t>
  </si>
  <si>
    <t>GASTOS NOTARIALES</t>
  </si>
  <si>
    <t>0665</t>
  </si>
  <si>
    <t>ASESORIA</t>
  </si>
  <si>
    <t>0666</t>
  </si>
  <si>
    <t>ACTUALIZACION Y RECARGOS</t>
  </si>
  <si>
    <t>0667</t>
  </si>
  <si>
    <t>ALIMENTO PARA CANES</t>
  </si>
  <si>
    <t>0669</t>
  </si>
  <si>
    <t>TRASLADOS SRE</t>
  </si>
  <si>
    <t>0670</t>
  </si>
  <si>
    <t>RENTA DE CANES</t>
  </si>
  <si>
    <t>0672</t>
  </si>
  <si>
    <t>RADIOFRECUENCIA</t>
  </si>
  <si>
    <t>0673</t>
  </si>
  <si>
    <t>CONSTANCIAS</t>
  </si>
  <si>
    <t>0680</t>
  </si>
  <si>
    <t>RENTA DE LOCALES</t>
  </si>
  <si>
    <t>0681</t>
  </si>
  <si>
    <t>CTO. RENTA DE COPIADORA</t>
  </si>
  <si>
    <t>0682</t>
  </si>
  <si>
    <t>RENTA DE UNIDADES</t>
  </si>
  <si>
    <t>0683</t>
  </si>
  <si>
    <t>RENTA DE MOBILIARIO Y EQUIPO</t>
  </si>
  <si>
    <t>0709</t>
  </si>
  <si>
    <t>BANDERAS</t>
  </si>
  <si>
    <t>0712</t>
  </si>
  <si>
    <t>TELUM</t>
  </si>
  <si>
    <t>0713</t>
  </si>
  <si>
    <t>0719</t>
  </si>
  <si>
    <t>GASTOS DE FUNCION</t>
  </si>
  <si>
    <t>0722</t>
  </si>
  <si>
    <t>CEMEX MEXICO</t>
  </si>
  <si>
    <t>0728</t>
  </si>
  <si>
    <t>INST. DE LA MUJER ATENCIONES</t>
  </si>
  <si>
    <t>0731</t>
  </si>
  <si>
    <t>HONORARIOS INST DE LA MUJER</t>
  </si>
  <si>
    <t>0734</t>
  </si>
  <si>
    <t>RENTA DE LOCAL INST LA MUJES</t>
  </si>
  <si>
    <t>0740</t>
  </si>
  <si>
    <t>ARREND. PURO CAMIONES DE LIMPI</t>
  </si>
  <si>
    <t>1502</t>
  </si>
  <si>
    <t>1589</t>
  </si>
  <si>
    <t>RAMO 33  FORTA- ELECTRICIDAD</t>
  </si>
  <si>
    <t>1591</t>
  </si>
  <si>
    <t>RAMO 33 ARRENDAMIENTO PURO</t>
  </si>
  <si>
    <t>Total 3</t>
  </si>
  <si>
    <t>0640</t>
  </si>
  <si>
    <t>FORMAS IMPRESAS</t>
  </si>
  <si>
    <t>0641</t>
  </si>
  <si>
    <t>PAPELERIA Y ART. OFICINA</t>
  </si>
  <si>
    <t>0651</t>
  </si>
  <si>
    <t>SUSCRIPCIONES Y REVISTAS</t>
  </si>
  <si>
    <t>0652</t>
  </si>
  <si>
    <t>MATERIAL FOTOGRAFICO</t>
  </si>
  <si>
    <t>0727</t>
  </si>
  <si>
    <t>INST. DE LA MUJER PAPELERIA</t>
  </si>
  <si>
    <t>Total 4</t>
  </si>
  <si>
    <t>0553</t>
  </si>
  <si>
    <t>RENTA DE MAQUINARIA PESADA</t>
  </si>
  <si>
    <t>0560</t>
  </si>
  <si>
    <t>MTTO. EQ. DE OFICINA</t>
  </si>
  <si>
    <t>0561</t>
  </si>
  <si>
    <t>MTTO. EQ. DE COMUNICACION</t>
  </si>
  <si>
    <t>0562</t>
  </si>
  <si>
    <t>MTTO. EQUIPO COMPUTO</t>
  </si>
  <si>
    <t>0563</t>
  </si>
  <si>
    <t>MTTO. EQ. TRANSPORTE</t>
  </si>
  <si>
    <t>0565</t>
  </si>
  <si>
    <t>MTTO. DE OTROS EQUIPOS</t>
  </si>
  <si>
    <t>0569</t>
  </si>
  <si>
    <t>ARTICULOS DE LIMPIEZA</t>
  </si>
  <si>
    <t>0570</t>
  </si>
  <si>
    <t>0577</t>
  </si>
  <si>
    <t>LUBRICANTES</t>
  </si>
  <si>
    <t>0578</t>
  </si>
  <si>
    <t>COMBUSTIBLES</t>
  </si>
  <si>
    <t>0579</t>
  </si>
  <si>
    <t>PLACAS, REF, TEN DE VEHICULOS</t>
  </si>
  <si>
    <t>0580</t>
  </si>
  <si>
    <t>DAÑOS A TERCEROS</t>
  </si>
  <si>
    <t>0581</t>
  </si>
  <si>
    <t>VIAJES Y ACARREO</t>
  </si>
  <si>
    <t>0582</t>
  </si>
  <si>
    <t>MTTO. PARQUES Y JARDINES</t>
  </si>
  <si>
    <t>0583</t>
  </si>
  <si>
    <t>MTTO. SEôALES Y NOMENCLATURAS</t>
  </si>
  <si>
    <t>0584</t>
  </si>
  <si>
    <t>MTTO.CAMPOS DEPORTIVOS</t>
  </si>
  <si>
    <t>0585</t>
  </si>
  <si>
    <t>MTTO. DE EDIFICIOS MPALES</t>
  </si>
  <si>
    <t>0586</t>
  </si>
  <si>
    <t>ARTICULOS DE LIMPIA</t>
  </si>
  <si>
    <t>0587</t>
  </si>
  <si>
    <t>MANTENIMIENTO A PANTEONES</t>
  </si>
  <si>
    <t>0588</t>
  </si>
  <si>
    <t>COMBUSTIBLES (CTA. PUENTE)</t>
  </si>
  <si>
    <t>0729</t>
  </si>
  <si>
    <t>INST DE LA MUJER MTTO DE EQUIP</t>
  </si>
  <si>
    <t>0733</t>
  </si>
  <si>
    <t>MTTO DE EDIFICIO INST DE MUJER</t>
  </si>
  <si>
    <t>1590</t>
  </si>
  <si>
    <t>MTTO EDIFICIO DE SEG PUBLICA</t>
  </si>
  <si>
    <t>1596</t>
  </si>
  <si>
    <t>RAMO 33 FAFM MTTO DE TRANSPORT</t>
  </si>
  <si>
    <t>1597</t>
  </si>
  <si>
    <t>RAMO 33 MTTO.Y REP.EQ.DE COMUN</t>
  </si>
  <si>
    <t>Total 5</t>
  </si>
  <si>
    <t xml:space="preserve">MANTENIMIENTO </t>
  </si>
  <si>
    <t>0611</t>
  </si>
  <si>
    <t>AYUDA A ESCUELAS</t>
  </si>
  <si>
    <t>0612</t>
  </si>
  <si>
    <t>APOYOS A LA COMUNIDAD</t>
  </si>
  <si>
    <t>0613</t>
  </si>
  <si>
    <t>0614</t>
  </si>
  <si>
    <t>SALUD MATERIAL MEDICO</t>
  </si>
  <si>
    <t>0615</t>
  </si>
  <si>
    <t>APOYO BECAS</t>
  </si>
  <si>
    <t>0616</t>
  </si>
  <si>
    <t>PROMOCION DEPORTIVA</t>
  </si>
  <si>
    <t>0617</t>
  </si>
  <si>
    <t>CENTROS DIF</t>
  </si>
  <si>
    <t>0618</t>
  </si>
  <si>
    <t>COMEDOR PUEBLO NUEVO</t>
  </si>
  <si>
    <t>0619</t>
  </si>
  <si>
    <t>GUARDERIA</t>
  </si>
  <si>
    <t>0620</t>
  </si>
  <si>
    <t>CASA CLUB DEL ANCIANO</t>
  </si>
  <si>
    <t>0621</t>
  </si>
  <si>
    <t>CRUZ VERDE MATERIAL MEDICO</t>
  </si>
  <si>
    <t>0622</t>
  </si>
  <si>
    <t>PROGRAMA 50-50</t>
  </si>
  <si>
    <t>0623</t>
  </si>
  <si>
    <t>PROGRAMA ESTUDIANTIL</t>
  </si>
  <si>
    <t>0624</t>
  </si>
  <si>
    <t>APOYO GASTOS ESCOLARES</t>
  </si>
  <si>
    <t>0625</t>
  </si>
  <si>
    <t>AYUDA  GASTOS FUNERARIOS</t>
  </si>
  <si>
    <t>0626</t>
  </si>
  <si>
    <t>APOYO GTOS MEDICOS PRESIDENCIA</t>
  </si>
  <si>
    <t>0627</t>
  </si>
  <si>
    <t>UTILES ESCOLARES DIF</t>
  </si>
  <si>
    <t>0628</t>
  </si>
  <si>
    <t>APOYOS ECONOMICOS DIF</t>
  </si>
  <si>
    <t>0629</t>
  </si>
  <si>
    <t>DESPENSAS D.I.F.</t>
  </si>
  <si>
    <t>0649</t>
  </si>
  <si>
    <t>APOYO A IGLESIAS</t>
  </si>
  <si>
    <t>0655</t>
  </si>
  <si>
    <t>CONTROL VETERINARIO</t>
  </si>
  <si>
    <t>0657</t>
  </si>
  <si>
    <t>BIBLIOTECAS</t>
  </si>
  <si>
    <t>0668</t>
  </si>
  <si>
    <t>SUBSIDIOS DIF</t>
  </si>
  <si>
    <t>0671</t>
  </si>
  <si>
    <t>SUBSIDIOS CRUZ VERDE</t>
  </si>
  <si>
    <t>0674</t>
  </si>
  <si>
    <t>ESCUELAS DE CALIDAD</t>
  </si>
  <si>
    <t>0675</t>
  </si>
  <si>
    <t>CURSOS DE VERANO</t>
  </si>
  <si>
    <t>0676</t>
  </si>
  <si>
    <t>APOYO GTOS. MEDICOS SRIA.</t>
  </si>
  <si>
    <t>0677</t>
  </si>
  <si>
    <t>APOYO GTOS. MEDICOS TESORERIA</t>
  </si>
  <si>
    <t>0678</t>
  </si>
  <si>
    <t>APOYO GTOS.MEDICOS ADMON.</t>
  </si>
  <si>
    <t>0679</t>
  </si>
  <si>
    <t>APOYO GTOS. MEDICOS DIF</t>
  </si>
  <si>
    <t>0720</t>
  </si>
  <si>
    <t>0721</t>
  </si>
  <si>
    <t>0735</t>
  </si>
  <si>
    <t>SEGUROS CASA HABITACION</t>
  </si>
  <si>
    <t>0736</t>
  </si>
  <si>
    <t>PROGRAMA APODACA SI TE APOYA</t>
  </si>
  <si>
    <t>0737</t>
  </si>
  <si>
    <t>UTILES ESCOLARES MAQUILADORA</t>
  </si>
  <si>
    <t>0738</t>
  </si>
  <si>
    <t>MUJERES EMPRENDEDORAS</t>
  </si>
  <si>
    <t>0739</t>
  </si>
  <si>
    <t>APORT. INST. DE LA JUVENTUD</t>
  </si>
  <si>
    <t>0741</t>
  </si>
  <si>
    <t>UTILES ESCOLARES (DES. SOCIAL)</t>
  </si>
  <si>
    <t>0742</t>
  </si>
  <si>
    <t>PROGRAMA DE EMPLEO TEMPORAL</t>
  </si>
  <si>
    <t>0743</t>
  </si>
  <si>
    <t>PROYECTOS ESP. MAQUILADORA</t>
  </si>
  <si>
    <t>0745</t>
  </si>
  <si>
    <t>0746</t>
  </si>
  <si>
    <t>CENTRO DOWN</t>
  </si>
  <si>
    <t>1514</t>
  </si>
  <si>
    <t>RAMO 33 FAISM DESP. Y BECAS</t>
  </si>
  <si>
    <t>1540</t>
  </si>
  <si>
    <t>RAMO 33 FAFM DESP. Y BECAS</t>
  </si>
  <si>
    <t>1545</t>
  </si>
  <si>
    <t>RAMO 33 FAFM APORTAC CENTROS A</t>
  </si>
  <si>
    <t>1588</t>
  </si>
  <si>
    <t>APORTACION SUBSEMUN</t>
  </si>
  <si>
    <t>Total 6</t>
  </si>
  <si>
    <t>0744</t>
  </si>
  <si>
    <t>EVENTOS INST DE LA JUVENTUD</t>
  </si>
  <si>
    <t>0630</t>
  </si>
  <si>
    <t>0631</t>
  </si>
  <si>
    <t>ANIVERSARIO DE APODACA</t>
  </si>
  <si>
    <t>0632</t>
  </si>
  <si>
    <t>0633</t>
  </si>
  <si>
    <t>0634</t>
  </si>
  <si>
    <t>EVENTO DIA DE LAS MADRES</t>
  </si>
  <si>
    <t>0635</t>
  </si>
  <si>
    <t>EVENTO DIA DEL MAESTRO</t>
  </si>
  <si>
    <t>0636</t>
  </si>
  <si>
    <t>FERIA DE APODACA</t>
  </si>
  <si>
    <t>0637</t>
  </si>
  <si>
    <t>EVENTO 15 Y 16 DE SEPTIEMBRE</t>
  </si>
  <si>
    <t>0638</t>
  </si>
  <si>
    <t>EVENTO 20 DE NOVIEMBRE</t>
  </si>
  <si>
    <t>0639</t>
  </si>
  <si>
    <t>PREPARATIVOS INFORME</t>
  </si>
  <si>
    <t>0642</t>
  </si>
  <si>
    <t>EVENTO DIA DEL NIÑO</t>
  </si>
  <si>
    <t>0643</t>
  </si>
  <si>
    <t>EVENTOS DIA DE LA SECRETARIA</t>
  </si>
  <si>
    <t>0644</t>
  </si>
  <si>
    <t>EVENTO 5 DE FEBRERO</t>
  </si>
  <si>
    <t>0645</t>
  </si>
  <si>
    <t>EVENTOS D.I.F.</t>
  </si>
  <si>
    <t>0648</t>
  </si>
  <si>
    <t>EVENTOS EN COLONIAS</t>
  </si>
  <si>
    <t>0654</t>
  </si>
  <si>
    <t>EVENTOS SINDICATO</t>
  </si>
  <si>
    <t>0656</t>
  </si>
  <si>
    <t>PARTICIPACION CIUDADANA</t>
  </si>
  <si>
    <t>0684</t>
  </si>
  <si>
    <t>TRANSP Y ATENCION CIUDADANA</t>
  </si>
  <si>
    <t>0685</t>
  </si>
  <si>
    <t>SRIA DE POLICIA Y TRANSITO</t>
  </si>
  <si>
    <t>0686</t>
  </si>
  <si>
    <t>0687</t>
  </si>
  <si>
    <t>OTROS EVENTOS</t>
  </si>
  <si>
    <t>0688</t>
  </si>
  <si>
    <t>EVENTOS DESARROLLO SOCIAL</t>
  </si>
  <si>
    <t>0689</t>
  </si>
  <si>
    <t>ANIVERSARIO DE APODACA (D.S.)</t>
  </si>
  <si>
    <t>0690</t>
  </si>
  <si>
    <t>POSADAS NAVIDEÑAS (D.S.)</t>
  </si>
  <si>
    <t>0691</t>
  </si>
  <si>
    <t>EVENTO DIA DEL NIÑO (SRIA)</t>
  </si>
  <si>
    <t>0692</t>
  </si>
  <si>
    <t>EVENTO DIA DEL NIÑO (DIF)</t>
  </si>
  <si>
    <t>0693</t>
  </si>
  <si>
    <t>EVENTO DIA DE LAS MADRES (DIF)</t>
  </si>
  <si>
    <t>0694</t>
  </si>
  <si>
    <t>EVENTO DIA DE LAS MADRES ADMON</t>
  </si>
  <si>
    <t>0695</t>
  </si>
  <si>
    <t>POSADAS NAVIDEÑAS (DIF)</t>
  </si>
  <si>
    <t>0696</t>
  </si>
  <si>
    <t>DIA DEL MAESTRO (DIF)</t>
  </si>
  <si>
    <t>0697</t>
  </si>
  <si>
    <t xml:space="preserve"> EVENTOS C.C.A. (DIF)</t>
  </si>
  <si>
    <t>0698</t>
  </si>
  <si>
    <t>CURSOS DE VERANO DIF</t>
  </si>
  <si>
    <t>0700</t>
  </si>
  <si>
    <t>EVENTO 16 DE SEPT ( DES SOC )</t>
  </si>
  <si>
    <t>0706</t>
  </si>
  <si>
    <t>FERIA DE APODACA (DIF)</t>
  </si>
  <si>
    <t>0707</t>
  </si>
  <si>
    <t>0708</t>
  </si>
  <si>
    <t>POSADA NAVIDEÑA (ADMON)</t>
  </si>
  <si>
    <t>0710</t>
  </si>
  <si>
    <t>20 DE NOVIEMBRE (DES.SOCIAL)</t>
  </si>
  <si>
    <t>0711</t>
  </si>
  <si>
    <t>POSADAS NAVIDEÑAS (S.P.)</t>
  </si>
  <si>
    <t>0714</t>
  </si>
  <si>
    <t>EVENTO 2 DE NOVIEMBRE</t>
  </si>
  <si>
    <t>0715</t>
  </si>
  <si>
    <t>FOMENTO ECONOMICO</t>
  </si>
  <si>
    <t>0716</t>
  </si>
  <si>
    <t>POSADAS NAVIDEÑAS (SSPYV)</t>
  </si>
  <si>
    <t>0717</t>
  </si>
  <si>
    <t>EVENTOS DESARROLLO URBANO</t>
  </si>
  <si>
    <t>0718</t>
  </si>
  <si>
    <t>EVENTOS SALUD</t>
  </si>
  <si>
    <t>0723</t>
  </si>
  <si>
    <t>EVENTOS PREVENCION AL DELITO</t>
  </si>
  <si>
    <t>0732</t>
  </si>
  <si>
    <t>INST MUJER EVENTOS Y BRIGADAS</t>
  </si>
  <si>
    <t>Total 7</t>
  </si>
  <si>
    <t>0701</t>
  </si>
  <si>
    <t>0702</t>
  </si>
  <si>
    <t>MOBILIARIO Y EQUIPO</t>
  </si>
  <si>
    <t>0703</t>
  </si>
  <si>
    <t>OTROS EQUIPOS</t>
  </si>
  <si>
    <t>0704</t>
  </si>
  <si>
    <t>0730</t>
  </si>
  <si>
    <t>INST.DE LA MUJER ADQUISICIONES</t>
  </si>
  <si>
    <t>1565</t>
  </si>
  <si>
    <t>RAMO 33 FAFM ADQUISICIONES</t>
  </si>
  <si>
    <t>1610</t>
  </si>
  <si>
    <t>EQUIPAMIENTO</t>
  </si>
  <si>
    <t>1620</t>
  </si>
  <si>
    <t>PLATAFORMA MEXICO</t>
  </si>
  <si>
    <t>1660</t>
  </si>
  <si>
    <t>TECNOLOGIA COMPLEMENTARIA</t>
  </si>
  <si>
    <t>1670</t>
  </si>
  <si>
    <t>OPERACION POLICIAL</t>
  </si>
  <si>
    <t>Total 8</t>
  </si>
  <si>
    <t>0699</t>
  </si>
  <si>
    <t>INMUEBLES</t>
  </si>
  <si>
    <t>Total 9</t>
  </si>
  <si>
    <t>0801</t>
  </si>
  <si>
    <t>PAVIMENTAC, BACHEO Y MTTO DE C</t>
  </si>
  <si>
    <t>0802</t>
  </si>
  <si>
    <t>PLAZAS Y UNIDADES DEPORTIVAS</t>
  </si>
  <si>
    <t>0803</t>
  </si>
  <si>
    <t>ALUMBRADO</t>
  </si>
  <si>
    <t>0804</t>
  </si>
  <si>
    <t>INTRODUCCION DE AGUA</t>
  </si>
  <si>
    <t>0805</t>
  </si>
  <si>
    <t>DRENAJE SANITARIO Y PLUVIAL</t>
  </si>
  <si>
    <t>0806</t>
  </si>
  <si>
    <t>0807</t>
  </si>
  <si>
    <t>OBRAS EN CENTROS D.I.F</t>
  </si>
  <si>
    <t>0808</t>
  </si>
  <si>
    <t>0809</t>
  </si>
  <si>
    <t>APOYO A ESCUELAS</t>
  </si>
  <si>
    <t>0810</t>
  </si>
  <si>
    <t>NOMENCLATURAS Y SEÑALES</t>
  </si>
  <si>
    <t>0811</t>
  </si>
  <si>
    <t>PAVIMENTACION</t>
  </si>
  <si>
    <t>0812</t>
  </si>
  <si>
    <t>PLAZAS Y CAMPOS DEPORTIVOS</t>
  </si>
  <si>
    <t>0813</t>
  </si>
  <si>
    <t>0814</t>
  </si>
  <si>
    <t>0815</t>
  </si>
  <si>
    <t>DRENAJE PLUVIAL</t>
  </si>
  <si>
    <t>0816</t>
  </si>
  <si>
    <t>CENTROS D.I.F.</t>
  </si>
  <si>
    <t>0817</t>
  </si>
  <si>
    <t>0818</t>
  </si>
  <si>
    <t>0819</t>
  </si>
  <si>
    <t>REHABILITACION DE ESCUELAS 04</t>
  </si>
  <si>
    <t>0820</t>
  </si>
  <si>
    <t>SERVICIO POSTAL MEXICANO</t>
  </si>
  <si>
    <t>0821</t>
  </si>
  <si>
    <t>EDIFICIO CONALEP</t>
  </si>
  <si>
    <t>0822</t>
  </si>
  <si>
    <t>CENTRO DE SALUD P.N.</t>
  </si>
  <si>
    <t>0823</t>
  </si>
  <si>
    <t>PROG.UNIVERSIT. DE SALUD UHI</t>
  </si>
  <si>
    <t>0824</t>
  </si>
  <si>
    <t>HOSPITAL REGIONAL (IMSS)</t>
  </si>
  <si>
    <t>0825</t>
  </si>
  <si>
    <t>0826</t>
  </si>
  <si>
    <t>APOYO ESCUELAS</t>
  </si>
  <si>
    <t>0827</t>
  </si>
  <si>
    <t>JUNTA DE MEJORAS FCO. ELIZONDO</t>
  </si>
  <si>
    <t>0828</t>
  </si>
  <si>
    <t>OTRAS OBRAS</t>
  </si>
  <si>
    <t>0829</t>
  </si>
  <si>
    <t>SEMAFORIZACION</t>
  </si>
  <si>
    <t>1524</t>
  </si>
  <si>
    <t>RAMO 33 FAISM OBRA PUBLICA</t>
  </si>
  <si>
    <t>1555</t>
  </si>
  <si>
    <t>RAMO 33 FAFM OBRA PUBLICA</t>
  </si>
  <si>
    <t>1630</t>
  </si>
  <si>
    <t>INFRAESTRUCTURA</t>
  </si>
  <si>
    <t>2000</t>
  </si>
  <si>
    <t>Total 10</t>
  </si>
  <si>
    <t>OBRA PUBLICA</t>
  </si>
  <si>
    <t>1506</t>
  </si>
  <si>
    <t>FINANCIAMIENTO DIRECTO</t>
  </si>
  <si>
    <t>1507</t>
  </si>
  <si>
    <t>1534</t>
  </si>
  <si>
    <t>RAMO 33 FAISM GASTOS FIN.</t>
  </si>
  <si>
    <t>1575</t>
  </si>
  <si>
    <t>RAMO 33 FAFM GASTOS FINANCIERO</t>
  </si>
  <si>
    <t>1586</t>
  </si>
  <si>
    <t>1587</t>
  </si>
  <si>
    <t>1595</t>
  </si>
  <si>
    <t>RAMO 33 FAFM FINANC OBRA PUB</t>
  </si>
  <si>
    <t>1598</t>
  </si>
  <si>
    <t>RAMO 33 FINANCIAMIENTO ADQ.</t>
  </si>
  <si>
    <t>1599</t>
  </si>
  <si>
    <t>RAMO 33 PAGO FINANCIAMIENTO</t>
  </si>
  <si>
    <t>1650</t>
  </si>
  <si>
    <t>Total 11</t>
  </si>
  <si>
    <t>Total general</t>
  </si>
  <si>
    <t xml:space="preserve">MUNICIPIO DE APODACA NUEVO LEON </t>
  </si>
  <si>
    <t>EJERCICIO FISCAL 2011</t>
  </si>
  <si>
    <t>SALDO DISPONIBLE AL 31 DE DICIEMBRE DE 2011</t>
  </si>
  <si>
    <t>SALDO DISPONIBLE AL 1 DE ENERO DE 2011</t>
  </si>
  <si>
    <t>DEL 1 DE ENERO AL 31 DE DICIEMBRE DE 2011</t>
  </si>
  <si>
    <t>AL 31 DE DICIEMBRE DE 2011</t>
  </si>
  <si>
    <t>DISPONIBLE AL 31 DE DICIEMBRE DE 2011</t>
  </si>
  <si>
    <t>AL DIA 31 DE DICIEMBRE DE 2011</t>
  </si>
  <si>
    <t>EGRESOS REALES POR CONCEPTO DE GASTO DEL EJERCICIO 2011</t>
  </si>
  <si>
    <t>Intereses infra 2011</t>
  </si>
  <si>
    <t>Intereses forta 2011</t>
  </si>
  <si>
    <t>Gastos Financieros 2011</t>
  </si>
  <si>
    <t>Obras 2011</t>
  </si>
  <si>
    <t>Uniformes y Gastos de Función 2011</t>
  </si>
  <si>
    <t>Bomberos 2011</t>
  </si>
  <si>
    <t>Adquisiciones 2011</t>
  </si>
  <si>
    <t>Fondo Metropolitano 2010</t>
  </si>
  <si>
    <t>intereses infra 2011</t>
  </si>
  <si>
    <t>INTERESES INFRA 2011</t>
  </si>
  <si>
    <t>GASTOS FINANCIEROS 2011</t>
  </si>
  <si>
    <t>OBRAS 2011</t>
  </si>
  <si>
    <t>Mantenimiento de Vehiculos 2011</t>
  </si>
  <si>
    <t>Mantenimiento de Vehículos 2011</t>
  </si>
  <si>
    <t>UNIFORMES Y GASTOS DE FUNCION 2011</t>
  </si>
  <si>
    <t>BOMBEROS 2011</t>
  </si>
  <si>
    <t>MANTENIMIENTO DE VEHICULOS 201</t>
  </si>
  <si>
    <t>ADQUISICIONES 2011</t>
  </si>
  <si>
    <t>intereses forta 2011</t>
  </si>
  <si>
    <t>INTERESES FORTA 2011</t>
  </si>
  <si>
    <t>Subsemun 2011</t>
  </si>
  <si>
    <t xml:space="preserve">CNA 2011                                          </t>
  </si>
  <si>
    <t xml:space="preserve">FOPAM 2011                                        </t>
  </si>
  <si>
    <t>SUBSEMUN 2011</t>
  </si>
  <si>
    <t>Fondo Metropolitano 2011</t>
  </si>
  <si>
    <t>D.S. Espacios Publicos 2011</t>
  </si>
  <si>
    <t xml:space="preserve">CONADE </t>
  </si>
  <si>
    <t xml:space="preserve">D.S. Espacios Publicos </t>
  </si>
  <si>
    <t>D.S. Espacios Públicos 2011</t>
  </si>
  <si>
    <t>D.S. ESPACIOS PUBLICOS 2011</t>
  </si>
  <si>
    <t>CONADE 2011</t>
  </si>
  <si>
    <t xml:space="preserve">Fondo Metropolitano </t>
  </si>
  <si>
    <t>FONDO METROPOLITANO 2011</t>
  </si>
  <si>
    <t>Programa Hábitat 2011</t>
  </si>
  <si>
    <t>Inst. Nac de la Juventud</t>
  </si>
  <si>
    <t>INST NACIONAL DE LA JUVENTUD</t>
  </si>
  <si>
    <t>ANTICIPO DE PARTICIPACIONES 2011</t>
  </si>
  <si>
    <t>0566</t>
  </si>
  <si>
    <t>TRASLADO RESIDUOS PELIGROSOS</t>
  </si>
  <si>
    <t>RECURSOS PROPIOS</t>
  </si>
  <si>
    <t>BANREGIO</t>
  </si>
  <si>
    <t>17-00473001-1</t>
  </si>
  <si>
    <t>INVERSION BANREGIO</t>
  </si>
  <si>
    <t>RECURSOS PROPIOS PROG 50-50</t>
  </si>
  <si>
    <t>17-00946001-2</t>
  </si>
  <si>
    <t>INVERSIONES PROG 50-50</t>
  </si>
  <si>
    <t>RECURSOS PROPIOS BIBLIOTECAS</t>
  </si>
  <si>
    <t>17-01158001-7</t>
  </si>
  <si>
    <t>INVERSIONES BIBLIOTECAS</t>
  </si>
  <si>
    <t>RECURSOS PROPIOS MESA DE HDA</t>
  </si>
  <si>
    <t>17-01243001-9</t>
  </si>
  <si>
    <t>INVERSION MESA DE HACIENDA</t>
  </si>
  <si>
    <t>RECURSOS PROPIOS MUL TTO OTROS</t>
  </si>
  <si>
    <t>17-01311001-8</t>
  </si>
  <si>
    <t>INVERSIONES R P MUL TTO OTROS</t>
  </si>
  <si>
    <t xml:space="preserve">REHABILITAC ESCUELAS </t>
  </si>
  <si>
    <t>17-01443001-6</t>
  </si>
  <si>
    <t xml:space="preserve">INVERSIONES REHABILITAC ESCUELAS </t>
  </si>
  <si>
    <t>PROYECTO DE OBRAS</t>
  </si>
  <si>
    <t>17-01468001-2</t>
  </si>
  <si>
    <t>INVERSION PROYECTO DE OBRAS</t>
  </si>
  <si>
    <t>17-02459-001-1</t>
  </si>
  <si>
    <t>INVERSION CENDIS</t>
  </si>
  <si>
    <t>RECURSOS PROPIOS  DIF</t>
  </si>
  <si>
    <t>17-01589001-1</t>
  </si>
  <si>
    <t>INVERSION DONATIVOS DIF</t>
  </si>
  <si>
    <t>RECURSOS PROPIOS PYME</t>
  </si>
  <si>
    <t>17-02133001-9</t>
  </si>
  <si>
    <t>INFRA 2007</t>
  </si>
  <si>
    <t>17-02578-001-9</t>
  </si>
  <si>
    <t>INVERSION INFRA 2007</t>
  </si>
  <si>
    <t>REC PROPIOS DES. MPAL.</t>
  </si>
  <si>
    <t>17-02725-001-7</t>
  </si>
  <si>
    <t>INVERSIONES DESARROLLO MPAL</t>
  </si>
  <si>
    <t>INFRA 2008</t>
  </si>
  <si>
    <t>17-02892-001-6</t>
  </si>
  <si>
    <t>INVERSION INFRA 2008</t>
  </si>
  <si>
    <t>FORTA 2008</t>
  </si>
  <si>
    <t>17-02891-001-1</t>
  </si>
  <si>
    <t>INVERSION FORTA 2008</t>
  </si>
  <si>
    <t>ULTRACRECIMIENTO 2008</t>
  </si>
  <si>
    <t>17-02943001-2</t>
  </si>
  <si>
    <t>INVERSION ULTRACRECIMIENTO 2008</t>
  </si>
  <si>
    <t>SEDESOL</t>
  </si>
  <si>
    <t>17-03042001-2</t>
  </si>
  <si>
    <t>INVERSION SEDESOL</t>
  </si>
  <si>
    <t>17-03212001-6</t>
  </si>
  <si>
    <t>INVERSION CONADE</t>
  </si>
  <si>
    <t>INFRA 2009</t>
  </si>
  <si>
    <t>17-03257-001-1</t>
  </si>
  <si>
    <t>INVERSION INFRA 2009</t>
  </si>
  <si>
    <t>FORTA 2009</t>
  </si>
  <si>
    <t>17-03256-001-6</t>
  </si>
  <si>
    <t>INVERSION FORTA 2009</t>
  </si>
  <si>
    <t>17-03271-001-8</t>
  </si>
  <si>
    <t>INVERSIONES FONDO METROPOLITANO</t>
  </si>
  <si>
    <t>17-03429001-6</t>
  </si>
  <si>
    <t>INVERSIONES FONDO METROPOLITANO 09</t>
  </si>
  <si>
    <t>PROGRAMA TU CASA</t>
  </si>
  <si>
    <t>17-03300-001-4</t>
  </si>
  <si>
    <t>INVERSIONES PROGRAMA TU CASA</t>
  </si>
  <si>
    <t>RECURSOS SUBSEMUN 2 2010</t>
  </si>
  <si>
    <t>17-03687-001-0</t>
  </si>
  <si>
    <t>INVERSION RECURSOS SUBSEMUN 2 2010</t>
  </si>
  <si>
    <t>RECURSOS SUBSEMUN 2010</t>
  </si>
  <si>
    <t>17-03686-001-4</t>
  </si>
  <si>
    <t>INVERSION RECURSOS SUBSEMUN 2010</t>
  </si>
  <si>
    <t>HABITAT 2010</t>
  </si>
  <si>
    <t>17-03708-001-2</t>
  </si>
  <si>
    <t>INVERSION HABITAT 2010</t>
  </si>
  <si>
    <t>ESPACIOS PUBLICOS 2010</t>
  </si>
  <si>
    <t>17-03693-001-2</t>
  </si>
  <si>
    <t>INVERSION ESPACIOS PUBLICOS 2010</t>
  </si>
  <si>
    <t>17-03718-001-7</t>
  </si>
  <si>
    <t>17-03724-001-0</t>
  </si>
  <si>
    <t>INVERSION FOPAM</t>
  </si>
  <si>
    <t>CNA</t>
  </si>
  <si>
    <t>17-03785-001-2</t>
  </si>
  <si>
    <t>INVERSION CNA</t>
  </si>
  <si>
    <t>17-03836-001-9</t>
  </si>
  <si>
    <t>INVERSION SUBSEMUN 2011</t>
  </si>
  <si>
    <t>SUBSEMUN 2 2011</t>
  </si>
  <si>
    <t>17-03837-001-4</t>
  </si>
  <si>
    <t>INVERSION SUBSEMUN 2 2011</t>
  </si>
  <si>
    <t xml:space="preserve">BANREGIO CNA'11 </t>
  </si>
  <si>
    <t>17-03879-001-3</t>
  </si>
  <si>
    <t>INVERSION CNA 2011</t>
  </si>
  <si>
    <t>BANREGIO FOPAM'11</t>
  </si>
  <si>
    <t>17-03880-001-9</t>
  </si>
  <si>
    <t>INVERSION FOPAM 2011</t>
  </si>
  <si>
    <t xml:space="preserve">BANREG ESP PUB'11 </t>
  </si>
  <si>
    <t>17-03834-001-8</t>
  </si>
  <si>
    <t xml:space="preserve">INVERSION BANREG ESP PUB'11 </t>
  </si>
  <si>
    <t xml:space="preserve">HABITAT 2011 </t>
  </si>
  <si>
    <t>17-03833-001-2</t>
  </si>
  <si>
    <t>INVERSIONES HABITAT 2011</t>
  </si>
  <si>
    <t>PROGRAMA DE EMPLEO TEMPORAL 2</t>
  </si>
  <si>
    <t>17-03889-001-8</t>
  </si>
  <si>
    <t>FOPAM 2011</t>
  </si>
  <si>
    <t>SERFIN</t>
  </si>
  <si>
    <t>65-50087775-3</t>
  </si>
  <si>
    <t>INVERSION SERFIN</t>
  </si>
  <si>
    <t>65-50155016-5</t>
  </si>
  <si>
    <t>RECURSOS SUBSEMUN</t>
  </si>
  <si>
    <t>65-50224872-1</t>
  </si>
  <si>
    <t>INVERSION SUBSEMUN</t>
  </si>
  <si>
    <t>RECURSOS SUBSEMUN 2</t>
  </si>
  <si>
    <t>65-50230588-3</t>
  </si>
  <si>
    <t>INVERSION SUBSEMUN 2</t>
  </si>
  <si>
    <t>RECURSOS SUBSEMUN 2009</t>
  </si>
  <si>
    <t>65-50245827-8</t>
  </si>
  <si>
    <t>INVERSION SUBSEMUN 2009</t>
  </si>
  <si>
    <t>RECURSOS SUBSEMUN 2 2009</t>
  </si>
  <si>
    <t>65-50245826-4</t>
  </si>
  <si>
    <t>INVERSION SUBSEMUN 2 2009</t>
  </si>
  <si>
    <t>RECURSOS PROPIOS BECAS</t>
  </si>
  <si>
    <t>BANORTE</t>
  </si>
  <si>
    <t>INVERSIONES BECAS</t>
  </si>
  <si>
    <t>RECURSOS PROPIOS PREDIAL</t>
  </si>
  <si>
    <t>INVERSION PREDIAL</t>
  </si>
  <si>
    <t>132-00001-8</t>
  </si>
  <si>
    <t>INVERSION BANORTE RECURSOS PROPIOS</t>
  </si>
  <si>
    <t>INFRA 2010</t>
  </si>
  <si>
    <t>INVERSION INFRA 2010</t>
  </si>
  <si>
    <t>FORTA 2010</t>
  </si>
  <si>
    <t>INVERSION FORTA 2010</t>
  </si>
  <si>
    <t>RECURSOS PROPIOS GIMNASIOS</t>
  </si>
  <si>
    <t>INVERSION GIMNASIOS</t>
  </si>
  <si>
    <t>REC. PROPIOS BANCOMER PREDIAL</t>
  </si>
  <si>
    <t>BANCOMER</t>
  </si>
  <si>
    <t>INVERSION BANCOMER PREDIAL</t>
  </si>
  <si>
    <t xml:space="preserve">RECURSOS PROPIOS </t>
  </si>
  <si>
    <t>AFIRME</t>
  </si>
  <si>
    <t>RECURSOS PROPIOS AFIRME PREDIAL</t>
  </si>
  <si>
    <t>INVERSION R PROPIOS AFIRME PREDIAL</t>
  </si>
  <si>
    <t>FORTA 2011</t>
  </si>
  <si>
    <t>INVERSION FORTA 2011</t>
  </si>
  <si>
    <t>INFRA 2011</t>
  </si>
  <si>
    <t>INVERSION INFRA 2011</t>
  </si>
  <si>
    <t>0748</t>
  </si>
  <si>
    <t>I.S.A.I. IMP SOBRE ADQ. DE INM</t>
  </si>
  <si>
    <t>0747</t>
  </si>
  <si>
    <t>2% SOBRE NOMINA</t>
  </si>
  <si>
    <t>0749</t>
  </si>
  <si>
    <t>PRESTAC. SINDICATO FONDO SAPS</t>
  </si>
  <si>
    <t>0750</t>
  </si>
  <si>
    <t>PROGRAMA "JOVENES DE CORAZON"</t>
  </si>
  <si>
    <t>0751</t>
  </si>
  <si>
    <t>RETENCIONES GOB DEL ESTADO 5%</t>
  </si>
  <si>
    <t>1680</t>
  </si>
  <si>
    <t>PROGRAMAS DE PREVENCION 2011</t>
  </si>
  <si>
    <t>CREDITO INFONAVIT</t>
  </si>
  <si>
    <t>RETENCIONES</t>
  </si>
  <si>
    <t xml:space="preserve">  SERVICIOS INTEGRADOS DEL SUR, S.A.</t>
  </si>
  <si>
    <t xml:space="preserve">  CORP. CONST. ENIKER, S.A. </t>
  </si>
  <si>
    <t xml:space="preserve">  BUFETE URBANISTICO, S.A.</t>
  </si>
  <si>
    <t>ISR RETENIDO SAPS</t>
  </si>
  <si>
    <t>LIC. JOSE LUIS LARA NOLASCO</t>
  </si>
  <si>
    <t>SECRETARIO PARTICULAR</t>
  </si>
  <si>
    <t>LIC. ELIUD EDILBERTO ELIZONDO TREVIÑO</t>
  </si>
  <si>
    <t xml:space="preserve">JEFE DE LA OF. EJECUTIVA C. PRESIDENTE </t>
  </si>
  <si>
    <t>LIC. OSCAR ALBERTO CANTU GARCIA</t>
  </si>
  <si>
    <t>SECRETARIO DEL R. AYUNTAMIENTO</t>
  </si>
  <si>
    <t>AMALIA ELIZONDO ELIZONDO</t>
  </si>
  <si>
    <t>CRI</t>
  </si>
  <si>
    <t>MARIA DE JESUS CASTRO ABUNDIS</t>
  </si>
  <si>
    <t>DIF ZONA PRADERAS</t>
  </si>
  <si>
    <t>CONCEPCION CANTU RAMOS</t>
  </si>
  <si>
    <t>GUARDERIAS</t>
  </si>
  <si>
    <t>DIF CENTRO</t>
  </si>
  <si>
    <t>DIF ZONA HUINALA</t>
  </si>
  <si>
    <t>MARIA CANDELARIA CANO VALVERDE</t>
  </si>
  <si>
    <t>DIF METROPLEX (PINOS)</t>
  </si>
  <si>
    <t>MARIA DE LOURDES GIL ALVAREZ</t>
  </si>
  <si>
    <t>DIF ZONA NORIA</t>
  </si>
  <si>
    <t>NORA HILDA CANTU LOZANO</t>
  </si>
  <si>
    <t>DIF PUEBLO NUEVO</t>
  </si>
  <si>
    <t>SARA ESTHER GONZALEZ CARRANZA</t>
  </si>
  <si>
    <t>DIF GOLONDRINAS</t>
  </si>
  <si>
    <t>DIF ZONA MEZQUITAL</t>
  </si>
  <si>
    <t>JUAN HUMBERTO NAVARRO GAMEZ</t>
  </si>
  <si>
    <t>CENTRO DE REHABILITACION INTEGRAL</t>
  </si>
  <si>
    <t>DIF MARGARITAS</t>
  </si>
  <si>
    <t>MAGDELI HUERTA ALANIS</t>
  </si>
  <si>
    <t>DIF JARDINES DE MONTERREY</t>
  </si>
  <si>
    <t>DIRECTOR DE COMUNICACIÓN SOCIAL</t>
  </si>
  <si>
    <t>C. IRMA C.GARZA GARZA</t>
  </si>
  <si>
    <t>TESORERIA MUNICIPAL</t>
  </si>
  <si>
    <t>LIC RAMIRO ROBERTO GONZALEZ GUTIERREZ</t>
  </si>
  <si>
    <t>SRIO DESARROLLO URBANO</t>
  </si>
  <si>
    <t>SEGURIDAD PUBLICA</t>
  </si>
  <si>
    <t>DR. ADMINISTRATICO SECRETARIA PUBL Y VIALIDAD</t>
  </si>
  <si>
    <t>IN. JUAN R. ALANIS MARTINEZ</t>
  </si>
  <si>
    <t>OBRAS PUBLICAS</t>
  </si>
  <si>
    <t>RECREACION Y DEPORTES</t>
  </si>
  <si>
    <t>MARTHA ELENA GUAJARDO GARCIA</t>
  </si>
  <si>
    <t>CASA CLUB</t>
  </si>
  <si>
    <t>EMMA LIDIA RAMIREZ SALINAS</t>
  </si>
  <si>
    <t>CENTRO DOWN CRECER JUNTOS</t>
  </si>
  <si>
    <t>DR. JOSE GARZA GARZA</t>
  </si>
  <si>
    <t>CONSULTORIO</t>
  </si>
  <si>
    <t>CENTRO CIVICO METROPLEX</t>
  </si>
  <si>
    <t>CENTRO CIVICO GARCIA MIRELES</t>
  </si>
  <si>
    <t>CENTRO CIVICO LOS FRESNOS</t>
  </si>
  <si>
    <t>CENTRO CIVICO MIXCOAC</t>
  </si>
  <si>
    <t>MELCHOR MARTINEZ PORRAS</t>
  </si>
  <si>
    <t>CENTRO CIVICO MOISES SAENZ</t>
  </si>
  <si>
    <t>JOSE LUIS MONROY MARMOLEJO</t>
  </si>
  <si>
    <t>CENTRO CIVICO ROBLES</t>
  </si>
  <si>
    <t>MARIA GUADALUPE  ONTIVEROS</t>
  </si>
  <si>
    <t>CENTRO CIVICO SANTA ROSA</t>
  </si>
  <si>
    <t>GYM MARGARITAS</t>
  </si>
  <si>
    <t xml:space="preserve">PERLA CECILIA REYNA </t>
  </si>
  <si>
    <t>GYM LAS PALMAS</t>
  </si>
  <si>
    <t xml:space="preserve">GUADALUPE ROJAS ZARCO </t>
  </si>
  <si>
    <t>GYM PRADOS DE LA CIENEGUITA</t>
  </si>
  <si>
    <t>MA. CONCEPCION CASTILLO</t>
  </si>
  <si>
    <t>GYM NORIA</t>
  </si>
  <si>
    <t xml:space="preserve">JESSICA ROSALES </t>
  </si>
  <si>
    <t>GYM MOISES SAENZ</t>
  </si>
  <si>
    <t xml:space="preserve">IRASEMA GARZA </t>
  </si>
  <si>
    <t>GYM MOISES SAENZ FRESNOS</t>
  </si>
  <si>
    <t>ELSA MIREYA ARREAZOLA</t>
  </si>
  <si>
    <t>GYM LUIS DONALDO COLOSIO (PUEBLO NVO)</t>
  </si>
  <si>
    <t xml:space="preserve">NORMA LIDIA CALVO </t>
  </si>
  <si>
    <t xml:space="preserve">ANA AURORA ROCHA </t>
  </si>
  <si>
    <t>GYM FUNDADORES</t>
  </si>
  <si>
    <t xml:space="preserve">MA DE JESUS GONGORA </t>
  </si>
  <si>
    <t xml:space="preserve">MA DEL CARMEN MONTEJANO </t>
  </si>
  <si>
    <t>GYM EBANOS</t>
  </si>
  <si>
    <t xml:space="preserve">IMELDA HINOJOSA </t>
  </si>
  <si>
    <t>GYM LOS EBANOS</t>
  </si>
  <si>
    <t xml:space="preserve">BELEM RODRIGUEZ MTZ </t>
  </si>
  <si>
    <t>GYM BALCONES DE SAN MIGUEL</t>
  </si>
  <si>
    <t xml:space="preserve">IRMA L. PEREZ RMZ </t>
  </si>
  <si>
    <t>GYM VILLAS DE SAN CARLOS</t>
  </si>
  <si>
    <t xml:space="preserve">ARCEDALIA RDZ GTZ </t>
  </si>
  <si>
    <t>GYM BALCONES DE SANTA ROSA</t>
  </si>
  <si>
    <t xml:space="preserve">ELIZABETH GPE MORALES </t>
  </si>
  <si>
    <t>GYM BALCONES DE STA ROSA</t>
  </si>
  <si>
    <t>GERARDO ELIZONDO PERALES</t>
  </si>
  <si>
    <t>ENCARGADO DE LA SECRETARIA DE SERV. PUBLICOS</t>
  </si>
  <si>
    <t>LIC. EDUARDO FLORES MARTINEZ</t>
  </si>
  <si>
    <t>SECRETARIO DE TRANSPARENCIA</t>
  </si>
  <si>
    <t>PROFRA. MARTHA LAURA CARRILLO</t>
  </si>
  <si>
    <t>LIC. OLIVIA MARTELL QUEZADA</t>
  </si>
  <si>
    <t>CAP. GUSTAVO RUIZ BAUTISTA</t>
  </si>
  <si>
    <t>CAP. EULALIO COSME LOPEZ</t>
  </si>
  <si>
    <t>LIC. ANDRES CANTU RAMIREZ</t>
  </si>
  <si>
    <t>BERTHA A. LOPEZ FLORES</t>
  </si>
  <si>
    <t>PROFRA. ANA ROSA HERNANDEZ CANTU</t>
  </si>
  <si>
    <t>PROYECTOS ESTRATEGICOS</t>
  </si>
  <si>
    <t>MYRIAM NOHEMI ESCALANTE</t>
  </si>
  <si>
    <t>VIENTOS DE ESPERANZA</t>
  </si>
  <si>
    <t>JUANA GUADALUPE LEIJA RAMOS</t>
  </si>
  <si>
    <t>DIF ZONA PINOS</t>
  </si>
  <si>
    <t>ADRIANA LAURA VILLANUEVA BUENO</t>
  </si>
  <si>
    <t>CASA CLUB FOMERREY</t>
  </si>
  <si>
    <t>ROSA NELLY ELIZONDO</t>
  </si>
  <si>
    <t>CASA CLUB CAMPANARIO</t>
  </si>
  <si>
    <t>MARIA TERESA REYES CAZARES</t>
  </si>
  <si>
    <t>GRICELDA ALVAREZ HERNANDEZ</t>
  </si>
  <si>
    <t>LILIA MAYELA TOBIAS HERNANDEZ</t>
  </si>
  <si>
    <t>NIDIA ELIZABETH GARCIA LIZCANO</t>
  </si>
  <si>
    <t>FERNANDO RODRIGUEZ CABALLERO</t>
  </si>
  <si>
    <t>PARQUE SAN FRANCISCO</t>
  </si>
  <si>
    <t>MAYRA ELIZABETH GUTIERREZ</t>
  </si>
  <si>
    <t>CENTRO CIVICO BALCONES DEL NORTE</t>
  </si>
  <si>
    <t>EVA ARACELY SALDAÑA CHAVEZ</t>
  </si>
  <si>
    <t>CENTRO CIVICO BOSQUE REAL</t>
  </si>
  <si>
    <t>DINA ELIZABETH GARAY C</t>
  </si>
  <si>
    <t>CENTRO CIVICO COSMOPÓLIS</t>
  </si>
  <si>
    <t>ZULEMA ORTEGA LOZANO</t>
  </si>
  <si>
    <t>BLANCA ESTELA NAVA ROSA</t>
  </si>
  <si>
    <t>CENTRO CIVICO FRANCISCO ELIZONDO</t>
  </si>
  <si>
    <t>MARIA ANTONIETA MENDEZ</t>
  </si>
  <si>
    <t>BRENDA MAYELA ROCHA MEDRANO</t>
  </si>
  <si>
    <t>BLANCA GONZALEZ SILVA</t>
  </si>
  <si>
    <t>MARIA CRISTINA REYES PEÑA</t>
  </si>
  <si>
    <t>MAYRA A. CANTU GONZALEZ</t>
  </si>
  <si>
    <t>AGLAEL GUADALUPE GARCIA ROJAS</t>
  </si>
  <si>
    <t>SANDRA E. ALEMAN QUINTERO</t>
  </si>
  <si>
    <t>MONICA GARCIA HERNANDEZ</t>
  </si>
  <si>
    <t>KARLA DANIELA GALLARDO</t>
  </si>
  <si>
    <t>MARGARITA GARCIA COVARRUBIAS</t>
  </si>
  <si>
    <t>ROCIO DEL CARMEN CALVO PUENTE</t>
  </si>
  <si>
    <t>EN EL EJERCICIO 2011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</si>
</sst>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164" formatCode="#,##0.00_ ;[Red]\-#,##0.00\ "/>
    <numFmt numFmtId="165" formatCode="#,##0.00000000000_ ;\-#,##0.00000000000\ "/>
    <numFmt numFmtId="166" formatCode="#,##0.0_ ;\-#,##0.0\ "/>
  </numFmts>
  <fonts count="2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6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5" xfId="0" applyFont="1" applyBorder="1"/>
    <xf numFmtId="0" fontId="2" fillId="0" borderId="14" xfId="0" applyFont="1" applyBorder="1" applyAlignment="1">
      <alignment horizontal="center"/>
    </xf>
    <xf numFmtId="4" fontId="2" fillId="0" borderId="4" xfId="0" applyNumberFormat="1" applyFont="1" applyBorder="1"/>
    <xf numFmtId="4" fontId="2" fillId="0" borderId="5" xfId="0" applyNumberFormat="1" applyFont="1" applyBorder="1"/>
    <xf numFmtId="4" fontId="3" fillId="0" borderId="4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1" fontId="3" fillId="0" borderId="5" xfId="0" applyNumberFormat="1" applyFont="1" applyBorder="1" applyProtection="1">
      <protection locked="0"/>
    </xf>
    <xf numFmtId="0" fontId="3" fillId="0" borderId="4" xfId="0" applyFont="1" applyBorder="1"/>
    <xf numFmtId="0" fontId="3" fillId="0" borderId="6" xfId="0" applyFont="1" applyBorder="1"/>
    <xf numFmtId="0" fontId="6" fillId="0" borderId="0" xfId="0" applyNumberFormat="1" applyFont="1" applyFill="1" applyBorder="1" applyAlignment="1">
      <alignment horizontal="centerContinuous"/>
    </xf>
    <xf numFmtId="4" fontId="0" fillId="0" borderId="0" xfId="0" applyNumberFormat="1"/>
    <xf numFmtId="4" fontId="4" fillId="0" borderId="0" xfId="0" applyNumberFormat="1" applyFont="1"/>
    <xf numFmtId="0" fontId="0" fillId="0" borderId="3" xfId="0" applyBorder="1"/>
    <xf numFmtId="0" fontId="0" fillId="0" borderId="17" xfId="0" applyBorder="1"/>
    <xf numFmtId="4" fontId="0" fillId="0" borderId="18" xfId="0" applyNumberFormat="1" applyBorder="1"/>
    <xf numFmtId="4" fontId="2" fillId="0" borderId="14" xfId="0" applyNumberFormat="1" applyFont="1" applyBorder="1"/>
    <xf numFmtId="0" fontId="6" fillId="0" borderId="0" xfId="0" applyFont="1" applyAlignment="1">
      <alignment horizontal="centerContinuous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8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0" borderId="25" xfId="0" applyFont="1" applyBorder="1" applyAlignment="1">
      <alignment horizontal="center"/>
    </xf>
    <xf numFmtId="4" fontId="0" fillId="0" borderId="0" xfId="0" applyNumberFormat="1" applyBorder="1"/>
    <xf numFmtId="0" fontId="0" fillId="0" borderId="26" xfId="0" applyBorder="1"/>
    <xf numFmtId="0" fontId="2" fillId="0" borderId="9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5" fillId="0" borderId="5" xfId="0" applyFont="1" applyBorder="1"/>
    <xf numFmtId="1" fontId="10" fillId="0" borderId="5" xfId="0" applyNumberFormat="1" applyFont="1" applyBorder="1"/>
    <xf numFmtId="0" fontId="9" fillId="0" borderId="5" xfId="0" applyFont="1" applyBorder="1"/>
    <xf numFmtId="0" fontId="8" fillId="0" borderId="5" xfId="0" applyFont="1" applyBorder="1" applyAlignment="1">
      <alignment horizontal="right"/>
    </xf>
    <xf numFmtId="0" fontId="10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1" fontId="9" fillId="0" borderId="5" xfId="0" applyNumberFormat="1" applyFont="1" applyBorder="1"/>
    <xf numFmtId="0" fontId="2" fillId="0" borderId="0" xfId="0" applyFont="1" applyBorder="1" applyAlignment="1">
      <alignment horizontal="center"/>
    </xf>
    <xf numFmtId="1" fontId="8" fillId="0" borderId="5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0" borderId="3" xfId="0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0" xfId="0" applyFont="1" applyBorder="1"/>
    <xf numFmtId="4" fontId="5" fillId="0" borderId="0" xfId="0" applyNumberFormat="1" applyFont="1"/>
    <xf numFmtId="0" fontId="8" fillId="0" borderId="6" xfId="0" applyFont="1" applyBorder="1" applyAlignment="1">
      <alignment horizontal="right"/>
    </xf>
    <xf numFmtId="1" fontId="8" fillId="0" borderId="6" xfId="0" applyNumberFormat="1" applyFont="1" applyBorder="1" applyAlignment="1">
      <alignment horizontal="right"/>
    </xf>
    <xf numFmtId="4" fontId="0" fillId="0" borderId="30" xfId="0" applyNumberFormat="1" applyBorder="1"/>
    <xf numFmtId="4" fontId="3" fillId="0" borderId="5" xfId="0" applyNumberFormat="1" applyFont="1" applyBorder="1" applyAlignment="1">
      <alignment vertical="top"/>
    </xf>
    <xf numFmtId="0" fontId="3" fillId="0" borderId="5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2" fillId="0" borderId="31" xfId="0" applyFont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6" fillId="0" borderId="0" xfId="0" applyFont="1" applyBorder="1" applyAlignment="1">
      <alignment horizontal="centerContinuous"/>
    </xf>
    <xf numFmtId="0" fontId="3" fillId="0" borderId="9" xfId="0" applyFont="1" applyBorder="1"/>
    <xf numFmtId="1" fontId="10" fillId="0" borderId="4" xfId="0" applyNumberFormat="1" applyFont="1" applyBorder="1"/>
    <xf numFmtId="4" fontId="5" fillId="0" borderId="5" xfId="0" applyNumberFormat="1" applyFont="1" applyBorder="1"/>
    <xf numFmtId="0" fontId="8" fillId="0" borderId="8" xfId="0" applyFont="1" applyBorder="1" applyAlignment="1">
      <alignment horizontal="right"/>
    </xf>
    <xf numFmtId="1" fontId="8" fillId="0" borderId="8" xfId="0" applyNumberFormat="1" applyFont="1" applyBorder="1" applyAlignment="1">
      <alignment horizontal="right"/>
    </xf>
    <xf numFmtId="4" fontId="2" fillId="0" borderId="0" xfId="0" applyNumberFormat="1" applyFont="1" applyBorder="1"/>
    <xf numFmtId="0" fontId="8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8" xfId="0" applyFont="1" applyBorder="1"/>
    <xf numFmtId="4" fontId="4" fillId="0" borderId="12" xfId="0" applyNumberFormat="1" applyFont="1" applyBorder="1"/>
    <xf numFmtId="1" fontId="8" fillId="0" borderId="12" xfId="0" applyNumberFormat="1" applyFont="1" applyBorder="1" applyAlignment="1">
      <alignment horizontal="right"/>
    </xf>
    <xf numFmtId="4" fontId="3" fillId="0" borderId="5" xfId="2" applyNumberFormat="1" applyFont="1" applyBorder="1"/>
    <xf numFmtId="4" fontId="3" fillId="0" borderId="5" xfId="2" applyNumberFormat="1" applyFont="1" applyBorder="1" applyAlignment="1">
      <alignment vertical="top"/>
    </xf>
    <xf numFmtId="0" fontId="6" fillId="0" borderId="0" xfId="0" applyFont="1"/>
    <xf numFmtId="0" fontId="2" fillId="0" borderId="0" xfId="0" applyFont="1" applyAlignment="1">
      <alignment horizontal="center"/>
    </xf>
    <xf numFmtId="4" fontId="0" fillId="0" borderId="10" xfId="0" applyNumberFormat="1" applyBorder="1"/>
    <xf numFmtId="0" fontId="3" fillId="0" borderId="9" xfId="0" applyFont="1" applyFill="1" applyBorder="1"/>
    <xf numFmtId="4" fontId="2" fillId="0" borderId="0" xfId="0" applyNumberFormat="1" applyFont="1"/>
    <xf numFmtId="0" fontId="0" fillId="0" borderId="35" xfId="0" applyBorder="1"/>
    <xf numFmtId="0" fontId="0" fillId="0" borderId="36" xfId="0" applyBorder="1"/>
    <xf numFmtId="0" fontId="0" fillId="0" borderId="37" xfId="0" applyBorder="1"/>
    <xf numFmtId="4" fontId="2" fillId="0" borderId="38" xfId="0" applyNumberFormat="1" applyFont="1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2" fillId="0" borderId="40" xfId="0" applyNumberFormat="1" applyFont="1" applyBorder="1"/>
    <xf numFmtId="10" fontId="0" fillId="0" borderId="0" xfId="0" applyNumberFormat="1" applyBorder="1"/>
    <xf numFmtId="0" fontId="0" fillId="0" borderId="43" xfId="0" applyBorder="1"/>
    <xf numFmtId="0" fontId="0" fillId="0" borderId="27" xfId="0" applyBorder="1"/>
    <xf numFmtId="0" fontId="0" fillId="0" borderId="30" xfId="0" applyBorder="1"/>
    <xf numFmtId="0" fontId="0" fillId="0" borderId="15" xfId="0" applyBorder="1"/>
    <xf numFmtId="4" fontId="3" fillId="0" borderId="44" xfId="0" applyNumberFormat="1" applyFont="1" applyBorder="1"/>
    <xf numFmtId="4" fontId="3" fillId="0" borderId="13" xfId="2" applyNumberFormat="1" applyFont="1" applyBorder="1"/>
    <xf numFmtId="1" fontId="3" fillId="0" borderId="9" xfId="0" applyNumberFormat="1" applyFont="1" applyBorder="1" applyProtection="1">
      <protection locked="0"/>
    </xf>
    <xf numFmtId="4" fontId="3" fillId="0" borderId="26" xfId="0" applyNumberFormat="1" applyFont="1" applyBorder="1"/>
    <xf numFmtId="4" fontId="3" fillId="0" borderId="0" xfId="2" applyNumberFormat="1" applyFont="1" applyBorder="1"/>
    <xf numFmtId="4" fontId="2" fillId="0" borderId="26" xfId="0" applyNumberFormat="1" applyFont="1" applyBorder="1"/>
    <xf numFmtId="4" fontId="3" fillId="0" borderId="10" xfId="2" applyNumberFormat="1" applyFont="1" applyBorder="1"/>
    <xf numFmtId="4" fontId="3" fillId="0" borderId="12" xfId="2" applyNumberFormat="1" applyFont="1" applyBorder="1"/>
    <xf numFmtId="4" fontId="3" fillId="0" borderId="8" xfId="0" applyNumberFormat="1" applyFont="1" applyBorder="1"/>
    <xf numFmtId="0" fontId="0" fillId="0" borderId="42" xfId="0" applyBorder="1"/>
    <xf numFmtId="0" fontId="3" fillId="0" borderId="3" xfId="0" applyFont="1" applyBorder="1" applyAlignment="1">
      <alignment horizontal="center" wrapText="1"/>
    </xf>
    <xf numFmtId="0" fontId="2" fillId="0" borderId="35" xfId="0" applyFont="1" applyBorder="1" applyAlignment="1">
      <alignment vertical="center"/>
    </xf>
    <xf numFmtId="0" fontId="3" fillId="0" borderId="42" xfId="0" applyFont="1" applyBorder="1"/>
    <xf numFmtId="4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9" xfId="0" applyFill="1" applyBorder="1"/>
    <xf numFmtId="44" fontId="0" fillId="0" borderId="0" xfId="0" applyNumberFormat="1" applyBorder="1"/>
    <xf numFmtId="44" fontId="2" fillId="0" borderId="49" xfId="1" applyFont="1" applyBorder="1"/>
    <xf numFmtId="44" fontId="0" fillId="0" borderId="18" xfId="1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/>
    <xf numFmtId="0" fontId="14" fillId="0" borderId="0" xfId="0" applyFont="1" applyBorder="1" applyAlignment="1">
      <alignment horizontal="right"/>
    </xf>
    <xf numFmtId="4" fontId="15" fillId="0" borderId="0" xfId="0" applyNumberFormat="1" applyFont="1" applyBorder="1"/>
    <xf numFmtId="0" fontId="16" fillId="0" borderId="0" xfId="0" applyFont="1" applyBorder="1"/>
    <xf numFmtId="4" fontId="15" fillId="0" borderId="30" xfId="0" applyNumberFormat="1" applyFont="1" applyBorder="1"/>
    <xf numFmtId="4" fontId="14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7" fillId="0" borderId="0" xfId="0" applyFont="1" applyAlignment="1">
      <alignment horizontal="center"/>
    </xf>
    <xf numFmtId="4" fontId="14" fillId="0" borderId="49" xfId="0" applyNumberFormat="1" applyFont="1" applyBorder="1"/>
    <xf numFmtId="4" fontId="13" fillId="0" borderId="0" xfId="0" applyNumberFormat="1" applyFont="1" applyBorder="1"/>
    <xf numFmtId="4" fontId="3" fillId="0" borderId="0" xfId="0" applyNumberFormat="1" applyFont="1" applyBorder="1"/>
    <xf numFmtId="4" fontId="3" fillId="0" borderId="13" xfId="0" applyNumberFormat="1" applyFont="1" applyBorder="1"/>
    <xf numFmtId="4" fontId="3" fillId="0" borderId="12" xfId="0" applyNumberFormat="1" applyFont="1" applyBorder="1"/>
    <xf numFmtId="4" fontId="3" fillId="0" borderId="0" xfId="0" applyNumberFormat="1" applyFont="1"/>
    <xf numFmtId="4" fontId="3" fillId="0" borderId="10" xfId="0" applyNumberFormat="1" applyFont="1" applyBorder="1"/>
    <xf numFmtId="4" fontId="2" fillId="0" borderId="10" xfId="0" applyNumberFormat="1" applyFont="1" applyBorder="1"/>
    <xf numFmtId="0" fontId="3" fillId="0" borderId="11" xfId="0" applyFont="1" applyBorder="1"/>
    <xf numFmtId="4" fontId="0" fillId="0" borderId="0" xfId="0" applyNumberFormat="1" applyFill="1" applyBorder="1"/>
    <xf numFmtId="0" fontId="0" fillId="0" borderId="0" xfId="0" applyFill="1"/>
    <xf numFmtId="4" fontId="0" fillId="0" borderId="6" xfId="0" applyNumberFormat="1" applyFill="1" applyBorder="1"/>
    <xf numFmtId="4" fontId="3" fillId="0" borderId="5" xfId="0" applyNumberFormat="1" applyFont="1" applyFill="1" applyBorder="1"/>
    <xf numFmtId="4" fontId="3" fillId="0" borderId="48" xfId="0" applyNumberFormat="1" applyFont="1" applyBorder="1"/>
    <xf numFmtId="4" fontId="3" fillId="0" borderId="18" xfId="0" applyNumberFormat="1" applyFont="1" applyBorder="1"/>
    <xf numFmtId="44" fontId="0" fillId="0" borderId="18" xfId="1" applyFont="1" applyFill="1" applyBorder="1"/>
    <xf numFmtId="0" fontId="0" fillId="0" borderId="3" xfId="0" applyFill="1" applyBorder="1"/>
    <xf numFmtId="4" fontId="0" fillId="0" borderId="3" xfId="0" applyNumberFormat="1" applyFill="1" applyBorder="1"/>
    <xf numFmtId="0" fontId="0" fillId="0" borderId="0" xfId="0" applyFill="1" applyBorder="1"/>
    <xf numFmtId="4" fontId="3" fillId="0" borderId="0" xfId="0" applyNumberFormat="1" applyFont="1" applyFill="1" applyBorder="1"/>
    <xf numFmtId="4" fontId="3" fillId="0" borderId="4" xfId="0" applyNumberFormat="1" applyFont="1" applyFill="1" applyBorder="1"/>
    <xf numFmtId="4" fontId="2" fillId="0" borderId="14" xfId="0" applyNumberFormat="1" applyFont="1" applyFill="1" applyBorder="1"/>
    <xf numFmtId="4" fontId="2" fillId="0" borderId="30" xfId="0" applyNumberFormat="1" applyFont="1" applyFill="1" applyBorder="1"/>
    <xf numFmtId="0" fontId="7" fillId="0" borderId="0" xfId="0" applyFont="1" applyFill="1"/>
    <xf numFmtId="0" fontId="4" fillId="0" borderId="3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52" xfId="0" applyFont="1" applyBorder="1"/>
    <xf numFmtId="0" fontId="4" fillId="0" borderId="53" xfId="0" applyFont="1" applyBorder="1" applyAlignment="1">
      <alignment horizontal="center"/>
    </xf>
    <xf numFmtId="4" fontId="2" fillId="0" borderId="46" xfId="0" applyNumberFormat="1" applyFont="1" applyBorder="1"/>
    <xf numFmtId="0" fontId="0" fillId="0" borderId="29" xfId="0" applyBorder="1"/>
    <xf numFmtId="0" fontId="2" fillId="0" borderId="0" xfId="0" applyFont="1" applyFill="1" applyAlignment="1">
      <alignment horizontal="center"/>
    </xf>
    <xf numFmtId="1" fontId="8" fillId="0" borderId="5" xfId="0" applyNumberFormat="1" applyFont="1" applyFill="1" applyBorder="1" applyAlignment="1">
      <alignment horizontal="right"/>
    </xf>
    <xf numFmtId="0" fontId="0" fillId="0" borderId="5" xfId="0" applyFill="1" applyBorder="1"/>
    <xf numFmtId="0" fontId="7" fillId="0" borderId="10" xfId="0" applyFont="1" applyBorder="1"/>
    <xf numFmtId="4" fontId="3" fillId="0" borderId="9" xfId="0" applyNumberFormat="1" applyFont="1" applyBorder="1"/>
    <xf numFmtId="0" fontId="2" fillId="0" borderId="14" xfId="0" applyFont="1" applyFill="1" applyBorder="1" applyAlignment="1">
      <alignment horizontal="center"/>
    </xf>
    <xf numFmtId="0" fontId="2" fillId="0" borderId="4" xfId="0" applyFont="1" applyFill="1" applyBorder="1"/>
    <xf numFmtId="1" fontId="3" fillId="0" borderId="5" xfId="0" applyNumberFormat="1" applyFont="1" applyFill="1" applyBorder="1" applyProtection="1">
      <protection locked="0"/>
    </xf>
    <xf numFmtId="1" fontId="2" fillId="0" borderId="5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Protection="1">
      <protection locked="0"/>
    </xf>
    <xf numFmtId="1" fontId="3" fillId="0" borderId="28" xfId="0" applyNumberFormat="1" applyFont="1" applyFill="1" applyBorder="1" applyProtection="1">
      <protection locked="0"/>
    </xf>
    <xf numFmtId="0" fontId="0" fillId="0" borderId="7" xfId="0" applyFill="1" applyBorder="1"/>
    <xf numFmtId="0" fontId="2" fillId="0" borderId="9" xfId="0" applyFont="1" applyFill="1" applyBorder="1"/>
    <xf numFmtId="0" fontId="3" fillId="0" borderId="0" xfId="0" applyFont="1" applyFill="1"/>
    <xf numFmtId="4" fontId="0" fillId="0" borderId="0" xfId="0" applyNumberFormat="1" applyFill="1"/>
    <xf numFmtId="4" fontId="3" fillId="0" borderId="6" xfId="0" applyNumberFormat="1" applyFont="1" applyFill="1" applyBorder="1"/>
    <xf numFmtId="0" fontId="2" fillId="0" borderId="3" xfId="0" applyFont="1" applyFill="1" applyBorder="1" applyAlignment="1">
      <alignment horizontal="center"/>
    </xf>
    <xf numFmtId="1" fontId="5" fillId="0" borderId="0" xfId="0" quotePrefix="1" applyNumberFormat="1" applyFont="1" applyFill="1" applyAlignment="1" applyProtection="1">
      <alignment horizontal="left"/>
      <protection locked="0"/>
    </xf>
    <xf numFmtId="1" fontId="5" fillId="0" borderId="0" xfId="0" applyNumberFormat="1" applyFont="1" applyFill="1" applyAlignment="1" applyProtection="1">
      <alignment horizontal="justify" vertical="center"/>
      <protection locked="0"/>
    </xf>
    <xf numFmtId="1" fontId="5" fillId="0" borderId="0" xfId="0" applyNumberFormat="1" applyFont="1" applyFill="1" applyProtection="1">
      <protection locked="0"/>
    </xf>
    <xf numFmtId="0" fontId="5" fillId="0" borderId="0" xfId="0" applyFont="1" applyFill="1"/>
    <xf numFmtId="1" fontId="5" fillId="0" borderId="0" xfId="0" quotePrefix="1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/>
    <xf numFmtId="1" fontId="5" fillId="0" borderId="0" xfId="0" applyNumberFormat="1" applyFont="1" applyFill="1" applyBorder="1" applyProtection="1">
      <protection locked="0"/>
    </xf>
    <xf numFmtId="4" fontId="3" fillId="0" borderId="56" xfId="0" applyNumberFormat="1" applyFont="1" applyBorder="1"/>
    <xf numFmtId="4" fontId="3" fillId="0" borderId="0" xfId="2" applyNumberFormat="1" applyFont="1" applyFill="1" applyBorder="1"/>
    <xf numFmtId="0" fontId="19" fillId="0" borderId="0" xfId="0" applyFont="1" applyFill="1"/>
    <xf numFmtId="0" fontId="2" fillId="0" borderId="30" xfId="0" applyFont="1" applyBorder="1" applyAlignment="1">
      <alignment horizontal="center"/>
    </xf>
    <xf numFmtId="0" fontId="3" fillId="0" borderId="3" xfId="0" applyFont="1" applyBorder="1"/>
    <xf numFmtId="0" fontId="0" fillId="0" borderId="22" xfId="0" applyFill="1" applyBorder="1"/>
    <xf numFmtId="0" fontId="3" fillId="0" borderId="5" xfId="0" applyFont="1" applyFill="1" applyBorder="1"/>
    <xf numFmtId="0" fontId="5" fillId="0" borderId="9" xfId="0" applyFont="1" applyFill="1" applyBorder="1"/>
    <xf numFmtId="39" fontId="2" fillId="0" borderId="0" xfId="0" applyNumberFormat="1" applyFont="1" applyFill="1" applyAlignment="1">
      <alignment horizontal="center"/>
    </xf>
    <xf numFmtId="39" fontId="0" fillId="0" borderId="0" xfId="0" applyNumberFormat="1" applyFill="1"/>
    <xf numFmtId="39" fontId="5" fillId="0" borderId="0" xfId="0" applyNumberFormat="1" applyFont="1" applyFill="1" applyAlignment="1" applyProtection="1">
      <alignment horizontal="justify" vertical="center"/>
      <protection locked="0"/>
    </xf>
    <xf numFmtId="39" fontId="5" fillId="0" borderId="0" xfId="0" applyNumberFormat="1" applyFont="1" applyFill="1"/>
    <xf numFmtId="39" fontId="5" fillId="0" borderId="0" xfId="0" applyNumberFormat="1" applyFont="1" applyFill="1" applyBorder="1"/>
    <xf numFmtId="39" fontId="7" fillId="0" borderId="0" xfId="0" applyNumberFormat="1" applyFont="1" applyFill="1"/>
    <xf numFmtId="0" fontId="18" fillId="0" borderId="0" xfId="0" applyFont="1" applyFill="1"/>
    <xf numFmtId="4" fontId="2" fillId="0" borderId="16" xfId="0" applyNumberFormat="1" applyFont="1" applyBorder="1"/>
    <xf numFmtId="4" fontId="3" fillId="0" borderId="5" xfId="2" applyNumberFormat="1" applyFont="1" applyFill="1" applyBorder="1"/>
    <xf numFmtId="4" fontId="3" fillId="0" borderId="10" xfId="0" applyNumberFormat="1" applyFont="1" applyFill="1" applyBorder="1"/>
    <xf numFmtId="0" fontId="9" fillId="0" borderId="9" xfId="0" applyFont="1" applyFill="1" applyBorder="1"/>
    <xf numFmtId="0" fontId="0" fillId="0" borderId="33" xfId="0" applyFill="1" applyBorder="1"/>
    <xf numFmtId="0" fontId="20" fillId="0" borderId="0" xfId="0" applyFont="1" applyAlignment="1">
      <alignment horizontal="center"/>
    </xf>
    <xf numFmtId="0" fontId="20" fillId="2" borderId="0" xfId="0" applyFont="1" applyFill="1" applyAlignment="1">
      <alignment horizontal="center"/>
    </xf>
    <xf numFmtId="4" fontId="20" fillId="2" borderId="0" xfId="0" applyNumberFormat="1" applyFont="1" applyFill="1" applyAlignment="1">
      <alignment horizontal="center"/>
    </xf>
    <xf numFmtId="4" fontId="20" fillId="0" borderId="0" xfId="0" applyNumberFormat="1" applyFont="1" applyAlignment="1">
      <alignment horizontal="center"/>
    </xf>
    <xf numFmtId="0" fontId="20" fillId="0" borderId="0" xfId="0" applyFont="1"/>
    <xf numFmtId="0" fontId="20" fillId="0" borderId="0" xfId="0" applyNumberFormat="1" applyFont="1"/>
    <xf numFmtId="0" fontId="20" fillId="2" borderId="0" xfId="0" applyFont="1" applyFill="1"/>
    <xf numFmtId="4" fontId="20" fillId="2" borderId="0" xfId="0" applyNumberFormat="1" applyFont="1" applyFill="1"/>
    <xf numFmtId="4" fontId="20" fillId="0" borderId="0" xfId="0" applyNumberFormat="1" applyFont="1"/>
    <xf numFmtId="0" fontId="21" fillId="0" borderId="0" xfId="0" applyFont="1" applyFill="1"/>
    <xf numFmtId="4" fontId="2" fillId="0" borderId="36" xfId="0" applyNumberFormat="1" applyFont="1" applyBorder="1"/>
    <xf numFmtId="4" fontId="0" fillId="0" borderId="15" xfId="0" applyNumberFormat="1" applyBorder="1"/>
    <xf numFmtId="0" fontId="0" fillId="3" borderId="33" xfId="0" applyFill="1" applyBorder="1"/>
    <xf numFmtId="4" fontId="2" fillId="0" borderId="7" xfId="0" applyNumberFormat="1" applyFont="1" applyBorder="1"/>
    <xf numFmtId="4" fontId="2" fillId="0" borderId="9" xfId="0" applyNumberFormat="1" applyFont="1" applyBorder="1"/>
    <xf numFmtId="4" fontId="3" fillId="0" borderId="11" xfId="0" applyNumberFormat="1" applyFont="1" applyBorder="1"/>
    <xf numFmtId="1" fontId="1" fillId="0" borderId="5" xfId="0" applyNumberFormat="1" applyFont="1" applyBorder="1" applyProtection="1">
      <protection locked="0"/>
    </xf>
    <xf numFmtId="0" fontId="9" fillId="0" borderId="5" xfId="0" applyFont="1" applyFill="1" applyBorder="1"/>
    <xf numFmtId="0" fontId="1" fillId="0" borderId="5" xfId="0" applyFont="1" applyFill="1" applyBorder="1"/>
    <xf numFmtId="0" fontId="1" fillId="0" borderId="5" xfId="0" applyFont="1" applyBorder="1"/>
    <xf numFmtId="0" fontId="1" fillId="0" borderId="9" xfId="0" applyFont="1" applyFill="1" applyBorder="1"/>
    <xf numFmtId="4" fontId="1" fillId="0" borderId="5" xfId="0" applyNumberFormat="1" applyFont="1" applyBorder="1"/>
    <xf numFmtId="165" fontId="0" fillId="0" borderId="0" xfId="0" applyNumberFormat="1"/>
    <xf numFmtId="166" fontId="0" fillId="0" borderId="0" xfId="0" applyNumberFormat="1"/>
    <xf numFmtId="0" fontId="1" fillId="0" borderId="35" xfId="0" applyFont="1" applyBorder="1"/>
    <xf numFmtId="4" fontId="1" fillId="0" borderId="5" xfId="0" applyNumberFormat="1" applyFont="1" applyBorder="1" applyAlignment="1">
      <alignment vertical="top"/>
    </xf>
    <xf numFmtId="4" fontId="1" fillId="0" borderId="5" xfId="2" applyNumberFormat="1" applyFont="1" applyBorder="1"/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4" fontId="1" fillId="0" borderId="6" xfId="0" applyNumberFormat="1" applyFont="1" applyBorder="1"/>
    <xf numFmtId="4" fontId="0" fillId="0" borderId="62" xfId="0" applyNumberFormat="1" applyBorder="1"/>
    <xf numFmtId="0" fontId="0" fillId="0" borderId="63" xfId="0" applyBorder="1"/>
    <xf numFmtId="4" fontId="0" fillId="0" borderId="44" xfId="0" applyNumberFormat="1" applyBorder="1"/>
    <xf numFmtId="0" fontId="0" fillId="0" borderId="64" xfId="0" applyBorder="1"/>
    <xf numFmtId="4" fontId="2" fillId="0" borderId="64" xfId="0" applyNumberFormat="1" applyFont="1" applyBorder="1"/>
    <xf numFmtId="0" fontId="0" fillId="0" borderId="39" xfId="0" applyBorder="1" applyAlignment="1">
      <alignment horizontal="justify"/>
    </xf>
    <xf numFmtId="0" fontId="3" fillId="0" borderId="35" xfId="0" applyFont="1" applyBorder="1"/>
    <xf numFmtId="0" fontId="2" fillId="0" borderId="65" xfId="0" applyFont="1" applyBorder="1" applyAlignment="1">
      <alignment horizontal="center"/>
    </xf>
    <xf numFmtId="0" fontId="0" fillId="0" borderId="52" xfId="0" applyBorder="1"/>
    <xf numFmtId="0" fontId="2" fillId="0" borderId="63" xfId="0" applyFont="1" applyFill="1" applyBorder="1"/>
    <xf numFmtId="0" fontId="3" fillId="0" borderId="39" xfId="0" applyFont="1" applyFill="1" applyBorder="1"/>
    <xf numFmtId="1" fontId="2" fillId="0" borderId="39" xfId="0" applyNumberFormat="1" applyFont="1" applyFill="1" applyBorder="1" applyAlignment="1" applyProtection="1">
      <alignment vertical="center"/>
      <protection locked="0"/>
    </xf>
    <xf numFmtId="0" fontId="2" fillId="0" borderId="39" xfId="0" applyFont="1" applyFill="1" applyBorder="1"/>
    <xf numFmtId="0" fontId="0" fillId="0" borderId="67" xfId="0" applyBorder="1"/>
    <xf numFmtId="0" fontId="0" fillId="0" borderId="68" xfId="0" applyBorder="1"/>
    <xf numFmtId="0" fontId="2" fillId="0" borderId="9" xfId="0" applyFont="1" applyBorder="1" applyAlignment="1">
      <alignment horizontal="center"/>
    </xf>
    <xf numFmtId="4" fontId="2" fillId="0" borderId="0" xfId="2" applyNumberFormat="1" applyFont="1" applyBorder="1"/>
    <xf numFmtId="0" fontId="2" fillId="0" borderId="10" xfId="0" applyNumberFormat="1" applyFont="1" applyBorder="1"/>
    <xf numFmtId="0" fontId="5" fillId="0" borderId="0" xfId="0" applyFont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" fillId="0" borderId="4" xfId="0" applyNumberFormat="1" applyFont="1" applyFill="1" applyBorder="1"/>
    <xf numFmtId="4" fontId="3" fillId="0" borderId="8" xfId="2" applyNumberFormat="1" applyFont="1" applyBorder="1"/>
    <xf numFmtId="4" fontId="3" fillId="0" borderId="26" xfId="2" applyNumberFormat="1" applyFont="1" applyBorder="1"/>
    <xf numFmtId="4" fontId="1" fillId="0" borderId="0" xfId="0" applyNumberFormat="1" applyFont="1" applyFill="1" applyBorder="1"/>
    <xf numFmtId="4" fontId="1" fillId="0" borderId="10" xfId="0" applyNumberFormat="1" applyFont="1" applyBorder="1"/>
    <xf numFmtId="4" fontId="1" fillId="0" borderId="13" xfId="0" applyNumberFormat="1" applyFont="1" applyBorder="1"/>
    <xf numFmtId="0" fontId="1" fillId="0" borderId="3" xfId="0" applyFont="1" applyBorder="1"/>
    <xf numFmtId="1" fontId="0" fillId="0" borderId="0" xfId="0" applyNumberFormat="1"/>
    <xf numFmtId="0" fontId="1" fillId="0" borderId="3" xfId="0" applyFont="1" applyBorder="1" applyAlignment="1"/>
    <xf numFmtId="0" fontId="1" fillId="0" borderId="3" xfId="0" applyFont="1" applyBorder="1" applyAlignment="1">
      <alignment horizontal="justify"/>
    </xf>
    <xf numFmtId="0" fontId="1" fillId="0" borderId="3" xfId="0" applyFon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3" xfId="0" applyNumberFormat="1" applyBorder="1" applyAlignment="1"/>
    <xf numFmtId="0" fontId="1" fillId="0" borderId="3" xfId="0" applyFont="1" applyFill="1" applyBorder="1" applyAlignment="1"/>
    <xf numFmtId="0" fontId="1" fillId="0" borderId="3" xfId="0" applyFont="1" applyFill="1" applyBorder="1" applyAlignment="1">
      <alignment horizontal="justify"/>
    </xf>
    <xf numFmtId="1" fontId="22" fillId="0" borderId="3" xfId="0" applyNumberFormat="1" applyFont="1" applyBorder="1" applyAlignment="1"/>
    <xf numFmtId="0" fontId="2" fillId="0" borderId="1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0" fillId="0" borderId="69" xfId="0" applyBorder="1"/>
    <xf numFmtId="0" fontId="0" fillId="0" borderId="70" xfId="0" applyBorder="1"/>
    <xf numFmtId="0" fontId="0" fillId="0" borderId="65" xfId="0" applyBorder="1"/>
    <xf numFmtId="0" fontId="0" fillId="0" borderId="62" xfId="0" applyBorder="1"/>
    <xf numFmtId="4" fontId="0" fillId="0" borderId="36" xfId="0" applyNumberFormat="1" applyBorder="1"/>
    <xf numFmtId="4" fontId="0" fillId="0" borderId="50" xfId="0" applyNumberFormat="1" applyBorder="1"/>
    <xf numFmtId="0" fontId="3" fillId="0" borderId="65" xfId="0" applyFont="1" applyBorder="1"/>
    <xf numFmtId="0" fontId="0" fillId="0" borderId="57" xfId="0" applyBorder="1"/>
    <xf numFmtId="0" fontId="0" fillId="0" borderId="58" xfId="0" applyBorder="1"/>
    <xf numFmtId="4" fontId="0" fillId="0" borderId="70" xfId="0" applyNumberFormat="1" applyBorder="1"/>
    <xf numFmtId="4" fontId="0" fillId="0" borderId="24" xfId="0" applyNumberFormat="1" applyBorder="1"/>
    <xf numFmtId="4" fontId="0" fillId="0" borderId="22" xfId="0" applyNumberFormat="1" applyBorder="1"/>
    <xf numFmtId="0" fontId="6" fillId="0" borderId="29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0" fillId="0" borderId="56" xfId="0" applyBorder="1"/>
    <xf numFmtId="0" fontId="0" fillId="0" borderId="46" xfId="0" applyBorder="1"/>
    <xf numFmtId="0" fontId="2" fillId="0" borderId="35" xfId="0" applyFont="1" applyBorder="1"/>
    <xf numFmtId="0" fontId="2" fillId="0" borderId="27" xfId="0" applyFont="1" applyBorder="1"/>
    <xf numFmtId="0" fontId="13" fillId="0" borderId="30" xfId="0" applyFont="1" applyBorder="1"/>
    <xf numFmtId="4" fontId="3" fillId="0" borderId="30" xfId="0" applyNumberFormat="1" applyFont="1" applyBorder="1"/>
    <xf numFmtId="0" fontId="6" fillId="0" borderId="35" xfId="0" applyFont="1" applyBorder="1" applyAlignment="1">
      <alignment horizontal="center"/>
    </xf>
    <xf numFmtId="4" fontId="1" fillId="0" borderId="3" xfId="0" applyNumberFormat="1" applyFont="1" applyFill="1" applyBorder="1"/>
    <xf numFmtId="0" fontId="1" fillId="0" borderId="42" xfId="0" applyFont="1" applyBorder="1"/>
    <xf numFmtId="4" fontId="0" fillId="0" borderId="56" xfId="0" applyNumberFormat="1" applyFill="1" applyBorder="1"/>
    <xf numFmtId="0" fontId="1" fillId="0" borderId="41" xfId="0" applyFont="1" applyBorder="1"/>
    <xf numFmtId="0" fontId="0" fillId="0" borderId="71" xfId="0" applyBorder="1"/>
    <xf numFmtId="0" fontId="0" fillId="0" borderId="72" xfId="0" applyBorder="1"/>
    <xf numFmtId="4" fontId="1" fillId="0" borderId="72" xfId="0" applyNumberFormat="1" applyFont="1" applyFill="1" applyBorder="1"/>
    <xf numFmtId="0" fontId="1" fillId="0" borderId="73" xfId="0" applyFont="1" applyBorder="1"/>
    <xf numFmtId="4" fontId="0" fillId="0" borderId="17" xfId="0" applyNumberFormat="1" applyFill="1" applyBorder="1"/>
    <xf numFmtId="4" fontId="0" fillId="0" borderId="72" xfId="0" applyNumberFormat="1" applyBorder="1"/>
    <xf numFmtId="0" fontId="0" fillId="0" borderId="42" xfId="0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4" fontId="2" fillId="0" borderId="44" xfId="0" applyNumberFormat="1" applyFont="1" applyBorder="1"/>
    <xf numFmtId="4" fontId="2" fillId="0" borderId="56" xfId="0" applyNumberFormat="1" applyFont="1" applyBorder="1"/>
    <xf numFmtId="4" fontId="2" fillId="0" borderId="74" xfId="0" applyNumberFormat="1" applyFont="1" applyBorder="1"/>
    <xf numFmtId="4" fontId="2" fillId="0" borderId="75" xfId="0" applyNumberFormat="1" applyFont="1" applyBorder="1"/>
    <xf numFmtId="0" fontId="0" fillId="0" borderId="39" xfId="0" applyFill="1" applyBorder="1"/>
    <xf numFmtId="4" fontId="3" fillId="0" borderId="40" xfId="0" applyNumberFormat="1" applyFont="1" applyBorder="1"/>
    <xf numFmtId="0" fontId="2" fillId="0" borderId="35" xfId="0" applyFont="1" applyFill="1" applyBorder="1"/>
    <xf numFmtId="4" fontId="2" fillId="0" borderId="40" xfId="0" applyNumberFormat="1" applyFont="1" applyBorder="1"/>
    <xf numFmtId="0" fontId="2" fillId="0" borderId="39" xfId="0" applyFont="1" applyFill="1" applyBorder="1" applyAlignment="1">
      <alignment horizontal="justify" vertical="justify"/>
    </xf>
    <xf numFmtId="0" fontId="3" fillId="0" borderId="39" xfId="0" applyFont="1" applyFill="1" applyBorder="1" applyAlignment="1">
      <alignment horizontal="justify" vertical="justify"/>
    </xf>
    <xf numFmtId="0" fontId="0" fillId="0" borderId="41" xfId="0" applyFill="1" applyBorder="1"/>
    <xf numFmtId="4" fontId="3" fillId="0" borderId="67" xfId="0" applyNumberFormat="1" applyFont="1" applyBorder="1"/>
    <xf numFmtId="0" fontId="0" fillId="0" borderId="43" xfId="0" applyFill="1" applyBorder="1"/>
    <xf numFmtId="4" fontId="3" fillId="0" borderId="54" xfId="0" applyNumberFormat="1" applyFont="1" applyBorder="1"/>
    <xf numFmtId="0" fontId="2" fillId="0" borderId="43" xfId="0" applyFont="1" applyFill="1" applyBorder="1"/>
    <xf numFmtId="0" fontId="0" fillId="0" borderId="35" xfId="0" applyFill="1" applyBorder="1"/>
    <xf numFmtId="0" fontId="3" fillId="0" borderId="35" xfId="0" applyFont="1" applyFill="1" applyBorder="1"/>
    <xf numFmtId="0" fontId="1" fillId="0" borderId="39" xfId="0" applyFont="1" applyFill="1" applyBorder="1"/>
    <xf numFmtId="0" fontId="1" fillId="0" borderId="35" xfId="0" applyFont="1" applyFill="1" applyBorder="1"/>
    <xf numFmtId="0" fontId="2" fillId="0" borderId="27" xfId="0" applyFont="1" applyFill="1" applyBorder="1"/>
    <xf numFmtId="4" fontId="2" fillId="0" borderId="66" xfId="0" applyNumberFormat="1" applyFont="1" applyBorder="1"/>
    <xf numFmtId="4" fontId="2" fillId="0" borderId="76" xfId="0" applyNumberFormat="1" applyFont="1" applyBorder="1"/>
    <xf numFmtId="4" fontId="2" fillId="0" borderId="55" xfId="0" applyNumberFormat="1" applyFont="1" applyBorder="1"/>
    <xf numFmtId="4" fontId="2" fillId="0" borderId="52" xfId="0" applyNumberFormat="1" applyFont="1" applyBorder="1"/>
    <xf numFmtId="0" fontId="2" fillId="0" borderId="29" xfId="0" applyFont="1" applyFill="1" applyBorder="1"/>
    <xf numFmtId="0" fontId="0" fillId="0" borderId="77" xfId="0" applyFill="1" applyBorder="1"/>
    <xf numFmtId="0" fontId="3" fillId="0" borderId="0" xfId="0" applyFont="1" applyBorder="1"/>
    <xf numFmtId="0" fontId="3" fillId="0" borderId="36" xfId="0" applyFont="1" applyBorder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" fontId="4" fillId="0" borderId="4" xfId="0" applyNumberFormat="1" applyFont="1" applyBorder="1"/>
    <xf numFmtId="4" fontId="5" fillId="0" borderId="0" xfId="0" applyNumberFormat="1" applyFont="1" applyBorder="1"/>
    <xf numFmtId="4" fontId="4" fillId="0" borderId="5" xfId="0" applyNumberFormat="1" applyFont="1" applyBorder="1"/>
    <xf numFmtId="4" fontId="5" fillId="0" borderId="6" xfId="0" applyNumberFormat="1" applyFont="1" applyBorder="1"/>
    <xf numFmtId="4" fontId="5" fillId="0" borderId="12" xfId="0" applyNumberFormat="1" applyFont="1" applyBorder="1"/>
    <xf numFmtId="4" fontId="5" fillId="0" borderId="5" xfId="0" applyNumberFormat="1" applyFont="1" applyFill="1" applyBorder="1"/>
    <xf numFmtId="0" fontId="5" fillId="0" borderId="0" xfId="0" applyFont="1"/>
    <xf numFmtId="0" fontId="2" fillId="0" borderId="63" xfId="0" applyFont="1" applyBorder="1"/>
    <xf numFmtId="4" fontId="4" fillId="0" borderId="44" xfId="0" applyNumberFormat="1" applyFont="1" applyBorder="1"/>
    <xf numFmtId="4" fontId="4" fillId="0" borderId="64" xfId="0" applyNumberFormat="1" applyFont="1" applyBorder="1"/>
    <xf numFmtId="4" fontId="5" fillId="0" borderId="40" xfId="0" applyNumberFormat="1" applyFont="1" applyBorder="1"/>
    <xf numFmtId="4" fontId="4" fillId="0" borderId="40" xfId="0" applyNumberFormat="1" applyFont="1" applyBorder="1"/>
    <xf numFmtId="0" fontId="2" fillId="0" borderId="39" xfId="0" applyFont="1" applyBorder="1" applyAlignment="1">
      <alignment horizontal="justify" vertical="justify"/>
    </xf>
    <xf numFmtId="0" fontId="3" fillId="0" borderId="39" xfId="0" applyFont="1" applyBorder="1" applyAlignment="1">
      <alignment horizontal="justify" vertical="justify"/>
    </xf>
    <xf numFmtId="0" fontId="2" fillId="0" borderId="39" xfId="0" applyFont="1" applyBorder="1"/>
    <xf numFmtId="4" fontId="5" fillId="0" borderId="67" xfId="0" applyNumberFormat="1" applyFont="1" applyBorder="1"/>
    <xf numFmtId="0" fontId="0" fillId="0" borderId="77" xfId="0" applyBorder="1"/>
    <xf numFmtId="4" fontId="5" fillId="0" borderId="50" xfId="0" applyNumberFormat="1" applyFont="1" applyBorder="1"/>
    <xf numFmtId="0" fontId="2" fillId="0" borderId="37" xfId="0" applyFont="1" applyBorder="1"/>
    <xf numFmtId="4" fontId="4" fillId="0" borderId="38" xfId="0" applyNumberFormat="1" applyFont="1" applyBorder="1"/>
    <xf numFmtId="0" fontId="3" fillId="0" borderId="39" xfId="0" applyFont="1" applyBorder="1"/>
    <xf numFmtId="0" fontId="1" fillId="0" borderId="39" xfId="0" applyFont="1" applyBorder="1"/>
    <xf numFmtId="4" fontId="4" fillId="0" borderId="66" xfId="0" applyNumberFormat="1" applyFont="1" applyBorder="1"/>
    <xf numFmtId="4" fontId="4" fillId="0" borderId="52" xfId="0" applyNumberFormat="1" applyFont="1" applyBorder="1"/>
    <xf numFmtId="0" fontId="5" fillId="0" borderId="36" xfId="0" applyFont="1" applyBorder="1"/>
    <xf numFmtId="0" fontId="0" fillId="0" borderId="53" xfId="0" applyBorder="1"/>
    <xf numFmtId="4" fontId="5" fillId="0" borderId="66" xfId="0" applyNumberFormat="1" applyFont="1" applyBorder="1"/>
    <xf numFmtId="4" fontId="5" fillId="0" borderId="52" xfId="0" applyNumberFormat="1" applyFont="1" applyBorder="1"/>
    <xf numFmtId="0" fontId="6" fillId="0" borderId="29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3" borderId="73" xfId="0" applyFont="1" applyFill="1" applyBorder="1" applyAlignment="1">
      <alignment horizontal="center" vertical="center"/>
    </xf>
    <xf numFmtId="4" fontId="2" fillId="3" borderId="17" xfId="0" applyNumberFormat="1" applyFont="1" applyFill="1" applyBorder="1" applyAlignment="1">
      <alignment vertical="center"/>
    </xf>
    <xf numFmtId="0" fontId="2" fillId="3" borderId="78" xfId="0" applyFont="1" applyFill="1" applyBorder="1" applyAlignment="1">
      <alignment horizontal="center" vertical="center"/>
    </xf>
    <xf numFmtId="4" fontId="2" fillId="3" borderId="79" xfId="0" applyNumberFormat="1" applyFont="1" applyFill="1" applyBorder="1" applyAlignment="1">
      <alignment vertical="center"/>
    </xf>
    <xf numFmtId="0" fontId="3" fillId="3" borderId="80" xfId="0" applyFont="1" applyFill="1" applyBorder="1"/>
    <xf numFmtId="4" fontId="4" fillId="3" borderId="17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>
      <alignment vertical="center"/>
    </xf>
    <xf numFmtId="17" fontId="2" fillId="3" borderId="14" xfId="0" applyNumberFormat="1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/>
    </xf>
    <xf numFmtId="4" fontId="2" fillId="3" borderId="3" xfId="0" applyNumberFormat="1" applyFont="1" applyFill="1" applyBorder="1"/>
    <xf numFmtId="0" fontId="2" fillId="3" borderId="42" xfId="0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40" xfId="0" applyNumberFormat="1" applyFont="1" applyFill="1" applyBorder="1"/>
    <xf numFmtId="0" fontId="2" fillId="3" borderId="40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" fontId="2" fillId="3" borderId="3" xfId="2" applyNumberFormat="1" applyFont="1" applyFill="1" applyBorder="1" applyAlignment="1">
      <alignment vertical="center"/>
    </xf>
    <xf numFmtId="4" fontId="2" fillId="3" borderId="79" xfId="2" applyNumberFormat="1" applyFont="1" applyFill="1" applyBorder="1" applyAlignment="1">
      <alignment vertical="center"/>
    </xf>
    <xf numFmtId="0" fontId="2" fillId="3" borderId="80" xfId="0" applyNumberFormat="1" applyFont="1" applyFill="1" applyBorder="1"/>
    <xf numFmtId="0" fontId="2" fillId="0" borderId="78" xfId="0" applyFont="1" applyBorder="1" applyAlignment="1">
      <alignment horizontal="center" vertical="center"/>
    </xf>
    <xf numFmtId="4" fontId="2" fillId="0" borderId="79" xfId="2" applyNumberFormat="1" applyFont="1" applyBorder="1" applyAlignment="1">
      <alignment vertical="center"/>
    </xf>
    <xf numFmtId="0" fontId="2" fillId="0" borderId="80" xfId="0" applyNumberFormat="1" applyFont="1" applyBorder="1" applyAlignment="1">
      <alignment vertical="center"/>
    </xf>
    <xf numFmtId="0" fontId="2" fillId="3" borderId="80" xfId="0" applyNumberFormat="1" applyFont="1" applyFill="1" applyBorder="1" applyAlignment="1">
      <alignment vertical="center"/>
    </xf>
    <xf numFmtId="10" fontId="0" fillId="0" borderId="30" xfId="0" applyNumberFormat="1" applyBorder="1"/>
    <xf numFmtId="4" fontId="2" fillId="0" borderId="79" xfId="0" applyNumberFormat="1" applyFont="1" applyBorder="1" applyAlignment="1">
      <alignment vertical="center"/>
    </xf>
    <xf numFmtId="4" fontId="2" fillId="3" borderId="45" xfId="0" applyNumberFormat="1" applyFont="1" applyFill="1" applyBorder="1" applyAlignment="1">
      <alignment vertical="center"/>
    </xf>
    <xf numFmtId="4" fontId="2" fillId="3" borderId="16" xfId="0" applyNumberFormat="1" applyFont="1" applyFill="1" applyBorder="1" applyAlignment="1">
      <alignment vertical="center"/>
    </xf>
    <xf numFmtId="0" fontId="2" fillId="3" borderId="36" xfId="0" applyNumberFormat="1" applyFont="1" applyFill="1" applyBorder="1" applyAlignment="1">
      <alignment vertical="center"/>
    </xf>
    <xf numFmtId="0" fontId="2" fillId="3" borderId="78" xfId="0" applyFont="1" applyFill="1" applyBorder="1" applyAlignment="1">
      <alignment horizontal="center"/>
    </xf>
    <xf numFmtId="4" fontId="2" fillId="3" borderId="79" xfId="0" applyNumberFormat="1" applyFont="1" applyFill="1" applyBorder="1"/>
    <xf numFmtId="4" fontId="2" fillId="3" borderId="79" xfId="2" applyNumberFormat="1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" fillId="0" borderId="63" xfId="0" applyFont="1" applyFill="1" applyBorder="1" applyAlignment="1">
      <alignment vertical="center"/>
    </xf>
    <xf numFmtId="4" fontId="4" fillId="0" borderId="44" xfId="0" applyNumberFormat="1" applyFont="1" applyFill="1" applyBorder="1" applyAlignment="1">
      <alignment vertical="center"/>
    </xf>
    <xf numFmtId="4" fontId="4" fillId="0" borderId="64" xfId="0" applyNumberFormat="1" applyFont="1" applyFill="1" applyBorder="1" applyAlignment="1">
      <alignment vertical="center"/>
    </xf>
    <xf numFmtId="1" fontId="3" fillId="0" borderId="39" xfId="0" applyNumberFormat="1" applyFont="1" applyFill="1" applyBorder="1" applyAlignment="1" applyProtection="1">
      <alignment vertical="center"/>
      <protection locked="0"/>
    </xf>
    <xf numFmtId="4" fontId="5" fillId="0" borderId="5" xfId="0" applyNumberFormat="1" applyFont="1" applyFill="1" applyBorder="1" applyAlignment="1">
      <alignment vertical="center"/>
    </xf>
    <xf numFmtId="4" fontId="23" fillId="0" borderId="5" xfId="0" applyNumberFormat="1" applyFont="1" applyFill="1" applyBorder="1" applyAlignment="1">
      <alignment vertical="center"/>
    </xf>
    <xf numFmtId="4" fontId="5" fillId="0" borderId="40" xfId="0" applyNumberFormat="1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4" fontId="4" fillId="0" borderId="40" xfId="0" applyNumberFormat="1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" fontId="3" fillId="0" borderId="53" xfId="0" applyNumberFormat="1" applyFont="1" applyFill="1" applyBorder="1" applyAlignment="1" applyProtection="1">
      <alignment vertical="center"/>
      <protection locked="0"/>
    </xf>
    <xf numFmtId="4" fontId="5" fillId="0" borderId="66" xfId="0" applyNumberFormat="1" applyFont="1" applyFill="1" applyBorder="1" applyAlignment="1">
      <alignment vertical="center"/>
    </xf>
    <xf numFmtId="4" fontId="23" fillId="0" borderId="66" xfId="0" applyNumberFormat="1" applyFont="1" applyFill="1" applyBorder="1" applyAlignment="1">
      <alignment vertical="center"/>
    </xf>
    <xf numFmtId="4" fontId="5" fillId="0" borderId="52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4" fontId="23" fillId="0" borderId="0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4" fontId="5" fillId="0" borderId="44" xfId="0" applyNumberFormat="1" applyFont="1" applyFill="1" applyBorder="1" applyAlignment="1">
      <alignment vertical="center"/>
    </xf>
    <xf numFmtId="4" fontId="5" fillId="0" borderId="56" xfId="0" applyNumberFormat="1" applyFont="1" applyFill="1" applyBorder="1" applyAlignment="1">
      <alignment vertical="center"/>
    </xf>
    <xf numFmtId="4" fontId="23" fillId="0" borderId="75" xfId="0" applyNumberFormat="1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/>
    </xf>
    <xf numFmtId="4" fontId="5" fillId="0" borderId="30" xfId="0" applyNumberFormat="1" applyFont="1" applyFill="1" applyBorder="1" applyAlignment="1">
      <alignment vertical="center"/>
    </xf>
    <xf numFmtId="4" fontId="5" fillId="0" borderId="55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vertical="center"/>
    </xf>
    <xf numFmtId="39" fontId="4" fillId="0" borderId="4" xfId="0" applyNumberFormat="1" applyFont="1" applyFill="1" applyBorder="1"/>
    <xf numFmtId="39" fontId="4" fillId="0" borderId="7" xfId="0" applyNumberFormat="1" applyFont="1" applyFill="1" applyBorder="1"/>
    <xf numFmtId="39" fontId="4" fillId="0" borderId="8" xfId="0" applyNumberFormat="1" applyFont="1" applyFill="1" applyBorder="1"/>
    <xf numFmtId="39" fontId="4" fillId="0" borderId="26" xfId="0" applyNumberFormat="1" applyFont="1" applyFill="1" applyBorder="1"/>
    <xf numFmtId="39" fontId="5" fillId="0" borderId="5" xfId="0" applyNumberFormat="1" applyFont="1" applyFill="1" applyBorder="1"/>
    <xf numFmtId="39" fontId="5" fillId="0" borderId="9" xfId="0" applyNumberFormat="1" applyFont="1" applyFill="1" applyBorder="1"/>
    <xf numFmtId="39" fontId="5" fillId="0" borderId="10" xfId="0" applyNumberFormat="1" applyFont="1" applyFill="1" applyBorder="1"/>
    <xf numFmtId="39" fontId="4" fillId="0" borderId="5" xfId="0" applyNumberFormat="1" applyFont="1" applyFill="1" applyBorder="1"/>
    <xf numFmtId="39" fontId="4" fillId="0" borderId="9" xfId="0" applyNumberFormat="1" applyFont="1" applyFill="1" applyBorder="1"/>
    <xf numFmtId="39" fontId="4" fillId="0" borderId="0" xfId="0" applyNumberFormat="1" applyFont="1" applyFill="1" applyBorder="1"/>
    <xf numFmtId="39" fontId="4" fillId="0" borderId="10" xfId="0" applyNumberFormat="1" applyFont="1" applyFill="1" applyBorder="1"/>
    <xf numFmtId="39" fontId="5" fillId="0" borderId="6" xfId="0" applyNumberFormat="1" applyFont="1" applyFill="1" applyBorder="1"/>
    <xf numFmtId="39" fontId="5" fillId="0" borderId="11" xfId="0" applyNumberFormat="1" applyFont="1" applyFill="1" applyBorder="1"/>
    <xf numFmtId="39" fontId="5" fillId="0" borderId="12" xfId="0" applyNumberFormat="1" applyFont="1" applyFill="1" applyBorder="1"/>
    <xf numFmtId="39" fontId="5" fillId="0" borderId="13" xfId="0" applyNumberFormat="1" applyFont="1" applyFill="1" applyBorder="1"/>
    <xf numFmtId="39" fontId="5" fillId="0" borderId="28" xfId="0" applyNumberFormat="1" applyFont="1" applyFill="1" applyBorder="1"/>
    <xf numFmtId="39" fontId="5" fillId="0" borderId="4" xfId="0" applyNumberFormat="1" applyFont="1" applyFill="1" applyBorder="1"/>
    <xf numFmtId="39" fontId="5" fillId="0" borderId="8" xfId="0" applyNumberFormat="1" applyFont="1" applyFill="1" applyBorder="1"/>
    <xf numFmtId="39" fontId="5" fillId="0" borderId="26" xfId="0" applyNumberFormat="1" applyFont="1" applyFill="1" applyBorder="1"/>
    <xf numFmtId="4" fontId="24" fillId="0" borderId="0" xfId="0" applyNumberFormat="1" applyFont="1"/>
    <xf numFmtId="39" fontId="2" fillId="3" borderId="14" xfId="0" applyNumberFormat="1" applyFont="1" applyFill="1" applyBorder="1" applyAlignment="1">
      <alignment horizontal="center" vertical="center"/>
    </xf>
    <xf numFmtId="39" fontId="4" fillId="3" borderId="3" xfId="0" applyNumberFormat="1" applyFont="1" applyFill="1" applyBorder="1" applyAlignment="1">
      <alignment vertical="center"/>
    </xf>
    <xf numFmtId="0" fontId="4" fillId="3" borderId="38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0" fontId="4" fillId="3" borderId="51" xfId="0" applyFont="1" applyFill="1" applyBorder="1"/>
    <xf numFmtId="0" fontId="4" fillId="3" borderId="54" xfId="0" applyFont="1" applyFill="1" applyBorder="1" applyAlignment="1">
      <alignment horizontal="center"/>
    </xf>
    <xf numFmtId="0" fontId="4" fillId="3" borderId="51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5" fillId="3" borderId="52" xfId="0" applyFont="1" applyFill="1" applyBorder="1"/>
    <xf numFmtId="0" fontId="4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55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" fontId="2" fillId="0" borderId="54" xfId="0" applyNumberFormat="1" applyFont="1" applyBorder="1"/>
    <xf numFmtId="1" fontId="3" fillId="0" borderId="35" xfId="0" applyNumberFormat="1" applyFont="1" applyBorder="1" applyProtection="1">
      <protection locked="0"/>
    </xf>
    <xf numFmtId="1" fontId="1" fillId="0" borderId="35" xfId="0" applyNumberFormat="1" applyFont="1" applyBorder="1" applyProtection="1">
      <protection locked="0"/>
    </xf>
    <xf numFmtId="4" fontId="1" fillId="0" borderId="66" xfId="0" applyNumberFormat="1" applyFont="1" applyFill="1" applyBorder="1"/>
    <xf numFmtId="4" fontId="3" fillId="0" borderId="30" xfId="2" applyNumberFormat="1" applyFont="1" applyBorder="1"/>
    <xf numFmtId="4" fontId="3" fillId="0" borderId="66" xfId="0" applyNumberFormat="1" applyFont="1" applyFill="1" applyBorder="1"/>
    <xf numFmtId="4" fontId="3" fillId="0" borderId="55" xfId="2" applyNumberFormat="1" applyFont="1" applyBorder="1"/>
    <xf numFmtId="0" fontId="5" fillId="0" borderId="35" xfId="0" applyFont="1" applyBorder="1"/>
    <xf numFmtId="0" fontId="4" fillId="0" borderId="36" xfId="0" applyFont="1" applyBorder="1" applyAlignment="1">
      <alignment horizontal="center"/>
    </xf>
    <xf numFmtId="0" fontId="0" fillId="0" borderId="54" xfId="0" applyBorder="1"/>
    <xf numFmtId="1" fontId="3" fillId="0" borderId="77" xfId="0" applyNumberFormat="1" applyFont="1" applyBorder="1" applyProtection="1">
      <protection locked="0"/>
    </xf>
    <xf numFmtId="0" fontId="4" fillId="0" borderId="0" xfId="0" applyNumberFormat="1" applyFont="1" applyAlignment="1">
      <alignment horizontal="centerContinuous"/>
    </xf>
    <xf numFmtId="164" fontId="4" fillId="0" borderId="0" xfId="0" applyNumberFormat="1" applyFont="1" applyBorder="1"/>
    <xf numFmtId="0" fontId="5" fillId="0" borderId="12" xfId="0" applyFont="1" applyBorder="1"/>
    <xf numFmtId="0" fontId="5" fillId="0" borderId="4" xfId="0" applyFont="1" applyBorder="1"/>
    <xf numFmtId="4" fontId="4" fillId="0" borderId="6" xfId="0" applyNumberFormat="1" applyFont="1" applyBorder="1"/>
    <xf numFmtId="4" fontId="4" fillId="0" borderId="8" xfId="0" applyNumberFormat="1" applyFont="1" applyBorder="1"/>
    <xf numFmtId="4" fontId="5" fillId="0" borderId="4" xfId="0" applyNumberFormat="1" applyFont="1" applyBorder="1"/>
    <xf numFmtId="4" fontId="4" fillId="0" borderId="26" xfId="0" applyNumberFormat="1" applyFont="1" applyBorder="1"/>
    <xf numFmtId="4" fontId="5" fillId="0" borderId="10" xfId="0" applyNumberFormat="1" applyFont="1" applyBorder="1"/>
    <xf numFmtId="4" fontId="4" fillId="0" borderId="10" xfId="0" applyNumberFormat="1" applyFont="1" applyBorder="1"/>
    <xf numFmtId="1" fontId="10" fillId="3" borderId="78" xfId="0" applyNumberFormat="1" applyFont="1" applyFill="1" applyBorder="1" applyAlignment="1">
      <alignment horizontal="center" vertical="center"/>
    </xf>
    <xf numFmtId="4" fontId="4" fillId="3" borderId="81" xfId="0" applyNumberFormat="1" applyFont="1" applyFill="1" applyBorder="1" applyAlignment="1">
      <alignment vertical="center"/>
    </xf>
    <xf numFmtId="4" fontId="4" fillId="3" borderId="79" xfId="0" applyNumberFormat="1" applyFont="1" applyFill="1" applyBorder="1" applyAlignment="1">
      <alignment vertical="center"/>
    </xf>
    <xf numFmtId="4" fontId="4" fillId="3" borderId="80" xfId="0" applyNumberFormat="1" applyFont="1" applyFill="1" applyBorder="1" applyAlignment="1">
      <alignment vertical="center"/>
    </xf>
    <xf numFmtId="1" fontId="8" fillId="3" borderId="78" xfId="0" applyNumberFormat="1" applyFont="1" applyFill="1" applyBorder="1" applyAlignment="1">
      <alignment horizontal="center" vertical="center"/>
    </xf>
    <xf numFmtId="4" fontId="4" fillId="3" borderId="20" xfId="0" applyNumberFormat="1" applyFont="1" applyFill="1" applyBorder="1" applyAlignment="1">
      <alignment vertical="center"/>
    </xf>
    <xf numFmtId="0" fontId="2" fillId="3" borderId="27" xfId="0" applyFont="1" applyFill="1" applyBorder="1" applyAlignment="1"/>
    <xf numFmtId="4" fontId="4" fillId="3" borderId="1" xfId="0" applyNumberFormat="1" applyFont="1" applyFill="1" applyBorder="1" applyAlignment="1"/>
    <xf numFmtId="4" fontId="4" fillId="3" borderId="30" xfId="0" applyNumberFormat="1" applyFont="1" applyFill="1" applyBorder="1" applyAlignment="1"/>
    <xf numFmtId="0" fontId="8" fillId="3" borderId="78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0" fontId="2" fillId="4" borderId="78" xfId="0" applyFont="1" applyFill="1" applyBorder="1" applyAlignment="1">
      <alignment vertical="center"/>
    </xf>
    <xf numFmtId="0" fontId="4" fillId="4" borderId="79" xfId="0" applyFont="1" applyFill="1" applyBorder="1" applyAlignment="1">
      <alignment horizontal="center" vertical="center"/>
    </xf>
    <xf numFmtId="0" fontId="4" fillId="4" borderId="80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</xdr:row>
      <xdr:rowOff>152400</xdr:rowOff>
    </xdr:from>
    <xdr:to>
      <xdr:col>6</xdr:col>
      <xdr:colOff>0</xdr:colOff>
      <xdr:row>33</xdr:row>
      <xdr:rowOff>133350</xdr:rowOff>
    </xdr:to>
    <xdr:sp macro="" textlink="">
      <xdr:nvSpPr>
        <xdr:cNvPr id="1097" name="Text Box 3"/>
        <xdr:cNvSpPr txBox="1">
          <a:spLocks noChangeArrowheads="1"/>
        </xdr:cNvSpPr>
      </xdr:nvSpPr>
      <xdr:spPr bwMode="auto">
        <a:xfrm>
          <a:off x="6800850" y="1190625"/>
          <a:ext cx="3143250" cy="435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7</xdr:row>
      <xdr:rowOff>19050</xdr:rowOff>
    </xdr:from>
    <xdr:to>
      <xdr:col>5</xdr:col>
      <xdr:colOff>2495550</xdr:colOff>
      <xdr:row>13</xdr:row>
      <xdr:rowOff>0</xdr:rowOff>
    </xdr:to>
    <xdr:sp macro="" textlink="">
      <xdr:nvSpPr>
        <xdr:cNvPr id="10381" name="Text Box 1"/>
        <xdr:cNvSpPr txBox="1">
          <a:spLocks noChangeArrowheads="1"/>
        </xdr:cNvSpPr>
      </xdr:nvSpPr>
      <xdr:spPr bwMode="auto">
        <a:xfrm>
          <a:off x="6276975" y="1219200"/>
          <a:ext cx="2438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13</xdr:row>
      <xdr:rowOff>38100</xdr:rowOff>
    </xdr:from>
    <xdr:to>
      <xdr:col>5</xdr:col>
      <xdr:colOff>2476500</xdr:colOff>
      <xdr:row>42</xdr:row>
      <xdr:rowOff>123825</xdr:rowOff>
    </xdr:to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38100" y="2209800"/>
          <a:ext cx="8658225" cy="478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7</xdr:row>
      <xdr:rowOff>38100</xdr:rowOff>
    </xdr:from>
    <xdr:to>
      <xdr:col>5</xdr:col>
      <xdr:colOff>2171700</xdr:colOff>
      <xdr:row>69</xdr:row>
      <xdr:rowOff>152400</xdr:rowOff>
    </xdr:to>
    <xdr:sp macro="" textlink="">
      <xdr:nvSpPr>
        <xdr:cNvPr id="11367" name="Text Box 1"/>
        <xdr:cNvSpPr txBox="1">
          <a:spLocks noChangeArrowheads="1"/>
        </xdr:cNvSpPr>
      </xdr:nvSpPr>
      <xdr:spPr bwMode="auto">
        <a:xfrm>
          <a:off x="7705725" y="1228725"/>
          <a:ext cx="2133600" cy="6267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7</xdr:row>
      <xdr:rowOff>19050</xdr:rowOff>
    </xdr:from>
    <xdr:to>
      <xdr:col>5</xdr:col>
      <xdr:colOff>2114550</xdr:colOff>
      <xdr:row>12</xdr:row>
      <xdr:rowOff>0</xdr:rowOff>
    </xdr:to>
    <xdr:sp macro="" textlink="">
      <xdr:nvSpPr>
        <xdr:cNvPr id="12429" name="Text Box 1"/>
        <xdr:cNvSpPr txBox="1">
          <a:spLocks noChangeArrowheads="1"/>
        </xdr:cNvSpPr>
      </xdr:nvSpPr>
      <xdr:spPr bwMode="auto">
        <a:xfrm>
          <a:off x="6486525" y="1219200"/>
          <a:ext cx="20574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12</xdr:row>
      <xdr:rowOff>0</xdr:rowOff>
    </xdr:from>
    <xdr:to>
      <xdr:col>5</xdr:col>
      <xdr:colOff>2057400</xdr:colOff>
      <xdr:row>43</xdr:row>
      <xdr:rowOff>123825</xdr:rowOff>
    </xdr:to>
    <xdr:sp macro="" textlink="">
      <xdr:nvSpPr>
        <xdr:cNvPr id="12430" name="Text Box 2"/>
        <xdr:cNvSpPr txBox="1">
          <a:spLocks noChangeArrowheads="1"/>
        </xdr:cNvSpPr>
      </xdr:nvSpPr>
      <xdr:spPr bwMode="auto">
        <a:xfrm>
          <a:off x="38100" y="2209800"/>
          <a:ext cx="8448675" cy="510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7</xdr:row>
      <xdr:rowOff>38100</xdr:rowOff>
    </xdr:from>
    <xdr:to>
      <xdr:col>5</xdr:col>
      <xdr:colOff>1809750</xdr:colOff>
      <xdr:row>20</xdr:row>
      <xdr:rowOff>0</xdr:rowOff>
    </xdr:to>
    <xdr:sp macro="" textlink="">
      <xdr:nvSpPr>
        <xdr:cNvPr id="13384" name="Text Box 1"/>
        <xdr:cNvSpPr txBox="1">
          <a:spLocks noChangeArrowheads="1"/>
        </xdr:cNvSpPr>
      </xdr:nvSpPr>
      <xdr:spPr bwMode="auto">
        <a:xfrm>
          <a:off x="6467475" y="1238250"/>
          <a:ext cx="1771650" cy="221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7</xdr:row>
      <xdr:rowOff>38100</xdr:rowOff>
    </xdr:from>
    <xdr:to>
      <xdr:col>5</xdr:col>
      <xdr:colOff>1809750</xdr:colOff>
      <xdr:row>12</xdr:row>
      <xdr:rowOff>0</xdr:rowOff>
    </xdr:to>
    <xdr:sp macro="" textlink="">
      <xdr:nvSpPr>
        <xdr:cNvPr id="14477" name="Text Box 1"/>
        <xdr:cNvSpPr txBox="1">
          <a:spLocks noChangeArrowheads="1"/>
        </xdr:cNvSpPr>
      </xdr:nvSpPr>
      <xdr:spPr bwMode="auto">
        <a:xfrm>
          <a:off x="6467475" y="1238250"/>
          <a:ext cx="1771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12</xdr:row>
      <xdr:rowOff>0</xdr:rowOff>
    </xdr:from>
    <xdr:to>
      <xdr:col>5</xdr:col>
      <xdr:colOff>1790700</xdr:colOff>
      <xdr:row>43</xdr:row>
      <xdr:rowOff>95250</xdr:rowOff>
    </xdr:to>
    <xdr:sp macro="" textlink="">
      <xdr:nvSpPr>
        <xdr:cNvPr id="14478" name="Text Box 2"/>
        <xdr:cNvSpPr txBox="1">
          <a:spLocks noChangeArrowheads="1"/>
        </xdr:cNvSpPr>
      </xdr:nvSpPr>
      <xdr:spPr bwMode="auto">
        <a:xfrm>
          <a:off x="38100" y="2209800"/>
          <a:ext cx="8181975" cy="491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7</xdr:row>
      <xdr:rowOff>57150</xdr:rowOff>
    </xdr:from>
    <xdr:to>
      <xdr:col>6</xdr:col>
      <xdr:colOff>2019300</xdr:colOff>
      <xdr:row>29</xdr:row>
      <xdr:rowOff>152400</xdr:rowOff>
    </xdr:to>
    <xdr:sp macro="" textlink="">
      <xdr:nvSpPr>
        <xdr:cNvPr id="15432" name="Text Box 1"/>
        <xdr:cNvSpPr txBox="1">
          <a:spLocks noChangeArrowheads="1"/>
        </xdr:cNvSpPr>
      </xdr:nvSpPr>
      <xdr:spPr bwMode="auto">
        <a:xfrm>
          <a:off x="8553450" y="1276350"/>
          <a:ext cx="1943100" cy="365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7</xdr:row>
      <xdr:rowOff>38100</xdr:rowOff>
    </xdr:from>
    <xdr:to>
      <xdr:col>5</xdr:col>
      <xdr:colOff>4019550</xdr:colOff>
      <xdr:row>27</xdr:row>
      <xdr:rowOff>38100</xdr:rowOff>
    </xdr:to>
    <xdr:sp macro="" textlink="">
      <xdr:nvSpPr>
        <xdr:cNvPr id="37006" name="Text Box 1"/>
        <xdr:cNvSpPr txBox="1">
          <a:spLocks noChangeArrowheads="1"/>
        </xdr:cNvSpPr>
      </xdr:nvSpPr>
      <xdr:spPr bwMode="auto">
        <a:xfrm>
          <a:off x="7743825" y="1238250"/>
          <a:ext cx="2181225" cy="323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27</xdr:row>
      <xdr:rowOff>95250</xdr:rowOff>
    </xdr:from>
    <xdr:to>
      <xdr:col>5</xdr:col>
      <xdr:colOff>4038600</xdr:colOff>
      <xdr:row>39</xdr:row>
      <xdr:rowOff>95250</xdr:rowOff>
    </xdr:to>
    <xdr:sp macro="" textlink="">
      <xdr:nvSpPr>
        <xdr:cNvPr id="37007" name="Text Box 2"/>
        <xdr:cNvSpPr txBox="1">
          <a:spLocks noChangeArrowheads="1"/>
        </xdr:cNvSpPr>
      </xdr:nvSpPr>
      <xdr:spPr bwMode="auto">
        <a:xfrm>
          <a:off x="19050" y="4533900"/>
          <a:ext cx="99060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7</xdr:row>
      <xdr:rowOff>38100</xdr:rowOff>
    </xdr:from>
    <xdr:to>
      <xdr:col>6</xdr:col>
      <xdr:colOff>2143125</xdr:colOff>
      <xdr:row>16</xdr:row>
      <xdr:rowOff>0</xdr:rowOff>
    </xdr:to>
    <xdr:sp macro="" textlink="">
      <xdr:nvSpPr>
        <xdr:cNvPr id="16457" name="Text Box 1"/>
        <xdr:cNvSpPr txBox="1">
          <a:spLocks noChangeArrowheads="1"/>
        </xdr:cNvSpPr>
      </xdr:nvSpPr>
      <xdr:spPr bwMode="auto">
        <a:xfrm>
          <a:off x="6505575" y="1238250"/>
          <a:ext cx="206692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7</xdr:row>
      <xdr:rowOff>19050</xdr:rowOff>
    </xdr:from>
    <xdr:to>
      <xdr:col>6</xdr:col>
      <xdr:colOff>2152650</xdr:colOff>
      <xdr:row>22</xdr:row>
      <xdr:rowOff>0</xdr:rowOff>
    </xdr:to>
    <xdr:sp macro="" textlink="">
      <xdr:nvSpPr>
        <xdr:cNvPr id="17481" name="Text Box 1"/>
        <xdr:cNvSpPr txBox="1">
          <a:spLocks noChangeArrowheads="1"/>
        </xdr:cNvSpPr>
      </xdr:nvSpPr>
      <xdr:spPr bwMode="auto">
        <a:xfrm>
          <a:off x="6486525" y="1219200"/>
          <a:ext cx="2095500" cy="2562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7</xdr:row>
      <xdr:rowOff>57150</xdr:rowOff>
    </xdr:from>
    <xdr:to>
      <xdr:col>6</xdr:col>
      <xdr:colOff>2400300</xdr:colOff>
      <xdr:row>24</xdr:row>
      <xdr:rowOff>0</xdr:rowOff>
    </xdr:to>
    <xdr:sp macro="" textlink="">
      <xdr:nvSpPr>
        <xdr:cNvPr id="18505" name="Text Box 1"/>
        <xdr:cNvSpPr txBox="1">
          <a:spLocks noChangeArrowheads="1"/>
        </xdr:cNvSpPr>
      </xdr:nvSpPr>
      <xdr:spPr bwMode="auto">
        <a:xfrm>
          <a:off x="6467475" y="1257300"/>
          <a:ext cx="236220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23</xdr:row>
      <xdr:rowOff>66675</xdr:rowOff>
    </xdr:from>
    <xdr:to>
      <xdr:col>5</xdr:col>
      <xdr:colOff>1752600</xdr:colOff>
      <xdr:row>45</xdr:row>
      <xdr:rowOff>76200</xdr:rowOff>
    </xdr:to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38100" y="3857625"/>
          <a:ext cx="8039100" cy="3571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28575</xdr:colOff>
      <xdr:row>7</xdr:row>
      <xdr:rowOff>28575</xdr:rowOff>
    </xdr:from>
    <xdr:to>
      <xdr:col>5</xdr:col>
      <xdr:colOff>1790700</xdr:colOff>
      <xdr:row>22</xdr:row>
      <xdr:rowOff>152400</xdr:rowOff>
    </xdr:to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6353175" y="1228725"/>
          <a:ext cx="1762125" cy="255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7</xdr:row>
      <xdr:rowOff>38100</xdr:rowOff>
    </xdr:from>
    <xdr:to>
      <xdr:col>6</xdr:col>
      <xdr:colOff>2314575</xdr:colOff>
      <xdr:row>24</xdr:row>
      <xdr:rowOff>0</xdr:rowOff>
    </xdr:to>
    <xdr:sp macro="" textlink="">
      <xdr:nvSpPr>
        <xdr:cNvPr id="20553" name="Text Box 1"/>
        <xdr:cNvSpPr txBox="1">
          <a:spLocks noChangeArrowheads="1"/>
        </xdr:cNvSpPr>
      </xdr:nvSpPr>
      <xdr:spPr bwMode="auto">
        <a:xfrm>
          <a:off x="6467475" y="1238250"/>
          <a:ext cx="2276475" cy="286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7</xdr:row>
      <xdr:rowOff>38100</xdr:rowOff>
    </xdr:from>
    <xdr:to>
      <xdr:col>6</xdr:col>
      <xdr:colOff>2247900</xdr:colOff>
      <xdr:row>14</xdr:row>
      <xdr:rowOff>0</xdr:rowOff>
    </xdr:to>
    <xdr:sp macro="" textlink="">
      <xdr:nvSpPr>
        <xdr:cNvPr id="21577" name="Text Box 1"/>
        <xdr:cNvSpPr txBox="1">
          <a:spLocks noChangeArrowheads="1"/>
        </xdr:cNvSpPr>
      </xdr:nvSpPr>
      <xdr:spPr bwMode="auto">
        <a:xfrm>
          <a:off x="6467475" y="1238250"/>
          <a:ext cx="2209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7</xdr:row>
      <xdr:rowOff>38100</xdr:rowOff>
    </xdr:from>
    <xdr:to>
      <xdr:col>6</xdr:col>
      <xdr:colOff>2171700</xdr:colOff>
      <xdr:row>18</xdr:row>
      <xdr:rowOff>0</xdr:rowOff>
    </xdr:to>
    <xdr:sp macro="" textlink="">
      <xdr:nvSpPr>
        <xdr:cNvPr id="23625" name="Text Box 1"/>
        <xdr:cNvSpPr txBox="1">
          <a:spLocks noChangeArrowheads="1"/>
        </xdr:cNvSpPr>
      </xdr:nvSpPr>
      <xdr:spPr bwMode="auto">
        <a:xfrm>
          <a:off x="6467475" y="1238250"/>
          <a:ext cx="2133600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7</xdr:row>
      <xdr:rowOff>19050</xdr:rowOff>
    </xdr:from>
    <xdr:to>
      <xdr:col>6</xdr:col>
      <xdr:colOff>2828925</xdr:colOff>
      <xdr:row>36</xdr:row>
      <xdr:rowOff>0</xdr:rowOff>
    </xdr:to>
    <xdr:sp macro="" textlink="">
      <xdr:nvSpPr>
        <xdr:cNvPr id="24650" name="Text Box 2"/>
        <xdr:cNvSpPr txBox="1">
          <a:spLocks noChangeArrowheads="1"/>
        </xdr:cNvSpPr>
      </xdr:nvSpPr>
      <xdr:spPr bwMode="auto">
        <a:xfrm>
          <a:off x="6048375" y="1219200"/>
          <a:ext cx="2771775" cy="418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80</xdr:row>
      <xdr:rowOff>0</xdr:rowOff>
    </xdr:from>
    <xdr:to>
      <xdr:col>5</xdr:col>
      <xdr:colOff>2819400</xdr:colOff>
      <xdr:row>80</xdr:row>
      <xdr:rowOff>0</xdr:rowOff>
    </xdr:to>
    <xdr:sp macro="" textlink="">
      <xdr:nvSpPr>
        <xdr:cNvPr id="25689" name="Text Box 2"/>
        <xdr:cNvSpPr txBox="1">
          <a:spLocks noChangeArrowheads="1"/>
        </xdr:cNvSpPr>
      </xdr:nvSpPr>
      <xdr:spPr bwMode="auto">
        <a:xfrm>
          <a:off x="2209800" y="8810625"/>
          <a:ext cx="6724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7</xdr:row>
      <xdr:rowOff>19050</xdr:rowOff>
    </xdr:from>
    <xdr:to>
      <xdr:col>6</xdr:col>
      <xdr:colOff>1809750</xdr:colOff>
      <xdr:row>19</xdr:row>
      <xdr:rowOff>19050</xdr:rowOff>
    </xdr:to>
    <xdr:sp macro="" textlink="">
      <xdr:nvSpPr>
        <xdr:cNvPr id="27752" name="Text Box 1"/>
        <xdr:cNvSpPr txBox="1">
          <a:spLocks noChangeArrowheads="1"/>
        </xdr:cNvSpPr>
      </xdr:nvSpPr>
      <xdr:spPr bwMode="auto">
        <a:xfrm>
          <a:off x="6610350" y="1219200"/>
          <a:ext cx="1790700" cy="210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7</xdr:row>
      <xdr:rowOff>19050</xdr:rowOff>
    </xdr:from>
    <xdr:to>
      <xdr:col>6</xdr:col>
      <xdr:colOff>1809750</xdr:colOff>
      <xdr:row>105</xdr:row>
      <xdr:rowOff>114300</xdr:rowOff>
    </xdr:to>
    <xdr:sp macro="" textlink="">
      <xdr:nvSpPr>
        <xdr:cNvPr id="47995" name="Text Box 1"/>
        <xdr:cNvSpPr txBox="1">
          <a:spLocks noChangeArrowheads="1"/>
        </xdr:cNvSpPr>
      </xdr:nvSpPr>
      <xdr:spPr bwMode="auto">
        <a:xfrm>
          <a:off x="7010400" y="1228725"/>
          <a:ext cx="1752600" cy="10134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7</xdr:row>
      <xdr:rowOff>19050</xdr:rowOff>
    </xdr:from>
    <xdr:to>
      <xdr:col>4</xdr:col>
      <xdr:colOff>2038350</xdr:colOff>
      <xdr:row>26</xdr:row>
      <xdr:rowOff>114300</xdr:rowOff>
    </xdr:to>
    <xdr:sp macro="" textlink="">
      <xdr:nvSpPr>
        <xdr:cNvPr id="42056" name="Text Box 1"/>
        <xdr:cNvSpPr txBox="1">
          <a:spLocks noChangeArrowheads="1"/>
        </xdr:cNvSpPr>
      </xdr:nvSpPr>
      <xdr:spPr bwMode="auto">
        <a:xfrm>
          <a:off x="1933575" y="1419225"/>
          <a:ext cx="704850" cy="391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7</xdr:row>
      <xdr:rowOff>0</xdr:rowOff>
    </xdr:from>
    <xdr:to>
      <xdr:col>3</xdr:col>
      <xdr:colOff>2343150</xdr:colOff>
      <xdr:row>82</xdr:row>
      <xdr:rowOff>0</xdr:rowOff>
    </xdr:to>
    <xdr:sp macro="" textlink="">
      <xdr:nvSpPr>
        <xdr:cNvPr id="29768" name="Text Box 1"/>
        <xdr:cNvSpPr txBox="1">
          <a:spLocks noChangeArrowheads="1"/>
        </xdr:cNvSpPr>
      </xdr:nvSpPr>
      <xdr:spPr bwMode="auto">
        <a:xfrm>
          <a:off x="7543800" y="1266825"/>
          <a:ext cx="1304925" cy="1006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7</xdr:row>
      <xdr:rowOff>38100</xdr:rowOff>
    </xdr:from>
    <xdr:to>
      <xdr:col>6</xdr:col>
      <xdr:colOff>2247900</xdr:colOff>
      <xdr:row>36</xdr:row>
      <xdr:rowOff>114300</xdr:rowOff>
    </xdr:to>
    <xdr:sp macro="" textlink="">
      <xdr:nvSpPr>
        <xdr:cNvPr id="31885" name="Text Box 1"/>
        <xdr:cNvSpPr txBox="1">
          <a:spLocks noChangeArrowheads="1"/>
        </xdr:cNvSpPr>
      </xdr:nvSpPr>
      <xdr:spPr bwMode="auto">
        <a:xfrm>
          <a:off x="7334250" y="1314450"/>
          <a:ext cx="2190750" cy="429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381000</xdr:colOff>
      <xdr:row>41</xdr:row>
      <xdr:rowOff>57150</xdr:rowOff>
    </xdr:from>
    <xdr:to>
      <xdr:col>6</xdr:col>
      <xdr:colOff>1000125</xdr:colOff>
      <xdr:row>43</xdr:row>
      <xdr:rowOff>123825</xdr:rowOff>
    </xdr:to>
    <xdr:sp macro="" textlink="">
      <xdr:nvSpPr>
        <xdr:cNvPr id="31746" name="Text Box 2"/>
        <xdr:cNvSpPr txBox="1">
          <a:spLocks noChangeArrowheads="1"/>
        </xdr:cNvSpPr>
      </xdr:nvSpPr>
      <xdr:spPr bwMode="auto">
        <a:xfrm>
          <a:off x="1371600" y="6210300"/>
          <a:ext cx="6905625" cy="390525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NOTA: SE INCLUIRAN EN ESTE FORMATO SOLO LAS CUENTAS POR COBRAR QUE FORMAN PARTE DE LA DISPONIBILIDAD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7</xdr:row>
      <xdr:rowOff>38100</xdr:rowOff>
    </xdr:from>
    <xdr:to>
      <xdr:col>5</xdr:col>
      <xdr:colOff>2505075</xdr:colOff>
      <xdr:row>34</xdr:row>
      <xdr:rowOff>152400</xdr:rowOff>
    </xdr:to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6657975" y="1238250"/>
          <a:ext cx="2447925" cy="448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35</xdr:row>
      <xdr:rowOff>38100</xdr:rowOff>
    </xdr:from>
    <xdr:to>
      <xdr:col>5</xdr:col>
      <xdr:colOff>2524125</xdr:colOff>
      <xdr:row>44</xdr:row>
      <xdr:rowOff>114300</xdr:rowOff>
    </xdr:to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38100" y="5772150"/>
          <a:ext cx="9086850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7</xdr:row>
      <xdr:rowOff>19050</xdr:rowOff>
    </xdr:from>
    <xdr:to>
      <xdr:col>4</xdr:col>
      <xdr:colOff>2038350</xdr:colOff>
      <xdr:row>31</xdr:row>
      <xdr:rowOff>114300</xdr:rowOff>
    </xdr:to>
    <xdr:sp macro="" textlink="">
      <xdr:nvSpPr>
        <xdr:cNvPr id="32910" name="Text Box 1"/>
        <xdr:cNvSpPr txBox="1">
          <a:spLocks noChangeArrowheads="1"/>
        </xdr:cNvSpPr>
      </xdr:nvSpPr>
      <xdr:spPr bwMode="auto">
        <a:xfrm>
          <a:off x="6315075" y="1285875"/>
          <a:ext cx="1981200" cy="3505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1438275</xdr:colOff>
      <xdr:row>36</xdr:row>
      <xdr:rowOff>142875</xdr:rowOff>
    </xdr:from>
    <xdr:to>
      <xdr:col>4</xdr:col>
      <xdr:colOff>1019175</xdr:colOff>
      <xdr:row>39</xdr:row>
      <xdr:rowOff>85725</xdr:rowOff>
    </xdr:to>
    <xdr:sp macro="" textlink="">
      <xdr:nvSpPr>
        <xdr:cNvPr id="32771" name="Text Box 3"/>
        <xdr:cNvSpPr txBox="1">
          <a:spLocks noChangeArrowheads="1"/>
        </xdr:cNvSpPr>
      </xdr:nvSpPr>
      <xdr:spPr bwMode="auto">
        <a:xfrm>
          <a:off x="1438275" y="5153025"/>
          <a:ext cx="6038850" cy="428625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NOTA: SE INCLUIRAN EN ESTE FORMATO SOLO LAS CUENTAS POR PAGAR QUE FORMAN PARTE DE LA DISPONIBILIDAD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7</xdr:row>
      <xdr:rowOff>38100</xdr:rowOff>
    </xdr:from>
    <xdr:to>
      <xdr:col>2</xdr:col>
      <xdr:colOff>2219325</xdr:colOff>
      <xdr:row>27</xdr:row>
      <xdr:rowOff>0</xdr:rowOff>
    </xdr:to>
    <xdr:sp macro="" textlink="">
      <xdr:nvSpPr>
        <xdr:cNvPr id="34004" name="Text Box 2"/>
        <xdr:cNvSpPr txBox="1">
          <a:spLocks noChangeArrowheads="1"/>
        </xdr:cNvSpPr>
      </xdr:nvSpPr>
      <xdr:spPr bwMode="auto">
        <a:xfrm>
          <a:off x="5562600" y="1304925"/>
          <a:ext cx="2190750" cy="320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28</xdr:row>
      <xdr:rowOff>9525</xdr:rowOff>
    </xdr:from>
    <xdr:to>
      <xdr:col>2</xdr:col>
      <xdr:colOff>2247900</xdr:colOff>
      <xdr:row>38</xdr:row>
      <xdr:rowOff>152400</xdr:rowOff>
    </xdr:to>
    <xdr:sp macro="" textlink="">
      <xdr:nvSpPr>
        <xdr:cNvPr id="34005" name="Text Box 3"/>
        <xdr:cNvSpPr txBox="1">
          <a:spLocks noChangeArrowheads="1"/>
        </xdr:cNvSpPr>
      </xdr:nvSpPr>
      <xdr:spPr bwMode="auto">
        <a:xfrm>
          <a:off x="38100" y="4686300"/>
          <a:ext cx="7743825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76200</xdr:rowOff>
    </xdr:from>
    <xdr:to>
      <xdr:col>2</xdr:col>
      <xdr:colOff>2828925</xdr:colOff>
      <xdr:row>37</xdr:row>
      <xdr:rowOff>95250</xdr:rowOff>
    </xdr:to>
    <xdr:sp macro="" textlink="">
      <xdr:nvSpPr>
        <xdr:cNvPr id="33796" name="Text Box 4"/>
        <xdr:cNvSpPr txBox="1">
          <a:spLocks noChangeArrowheads="1"/>
        </xdr:cNvSpPr>
      </xdr:nvSpPr>
      <xdr:spPr bwMode="auto">
        <a:xfrm>
          <a:off x="0" y="5724525"/>
          <a:ext cx="8362950" cy="50482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just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Nota: </a:t>
          </a:r>
          <a:r>
            <a:rPr lang="es-ES" sz="1400" b="0" i="0" strike="noStrike">
              <a:solidFill>
                <a:srgbClr val="000000"/>
              </a:solidFill>
              <a:latin typeface="Arial"/>
              <a:cs typeface="Arial"/>
            </a:rPr>
            <a:t>Se incluirá en este formato el resumen de las cuentas por cobrar que no forman parte de la disponibilidad (Ejemplo: Predial, Refrendos, Multas, etc.)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28</xdr:row>
      <xdr:rowOff>38100</xdr:rowOff>
    </xdr:from>
    <xdr:to>
      <xdr:col>3</xdr:col>
      <xdr:colOff>2228850</xdr:colOff>
      <xdr:row>40</xdr:row>
      <xdr:rowOff>114300</xdr:rowOff>
    </xdr:to>
    <xdr:sp macro="" textlink="">
      <xdr:nvSpPr>
        <xdr:cNvPr id="34958" name="Text Box 2"/>
        <xdr:cNvSpPr txBox="1">
          <a:spLocks noChangeArrowheads="1"/>
        </xdr:cNvSpPr>
      </xdr:nvSpPr>
      <xdr:spPr bwMode="auto">
        <a:xfrm>
          <a:off x="76200" y="4724400"/>
          <a:ext cx="86106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104775</xdr:rowOff>
    </xdr:from>
    <xdr:to>
      <xdr:col>3</xdr:col>
      <xdr:colOff>990600</xdr:colOff>
      <xdr:row>40</xdr:row>
      <xdr:rowOff>123825</xdr:rowOff>
    </xdr:to>
    <xdr:sp macro="" textlink="">
      <xdr:nvSpPr>
        <xdr:cNvPr id="34819" name="Text Box 3"/>
        <xdr:cNvSpPr txBox="1">
          <a:spLocks noChangeArrowheads="1"/>
        </xdr:cNvSpPr>
      </xdr:nvSpPr>
      <xdr:spPr bwMode="auto">
        <a:xfrm>
          <a:off x="0" y="6248400"/>
          <a:ext cx="8343900" cy="50482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just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Nota: </a:t>
          </a: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Se incluirá en este formato los adeudos por prestamos con Instituciones de Crédito, con el Gobierno del Estado y con Terceros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685800</xdr:colOff>
      <xdr:row>48</xdr:row>
      <xdr:rowOff>0</xdr:rowOff>
    </xdr:from>
    <xdr:to>
      <xdr:col>5</xdr:col>
      <xdr:colOff>1752600</xdr:colOff>
      <xdr:row>51</xdr:row>
      <xdr:rowOff>19050</xdr:rowOff>
    </xdr:to>
    <xdr:sp macro="" textlink="">
      <xdr:nvSpPr>
        <xdr:cNvPr id="39937" name="Text Box 1"/>
        <xdr:cNvSpPr txBox="1">
          <a:spLocks noChangeArrowheads="1"/>
        </xdr:cNvSpPr>
      </xdr:nvSpPr>
      <xdr:spPr bwMode="auto">
        <a:xfrm>
          <a:off x="1676400" y="7924800"/>
          <a:ext cx="6677025" cy="50482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just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Nota: Esta información deberá presentarse en disquete o disco compacto.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933450</xdr:colOff>
      <xdr:row>39</xdr:row>
      <xdr:rowOff>152400</xdr:rowOff>
    </xdr:from>
    <xdr:to>
      <xdr:col>4</xdr:col>
      <xdr:colOff>1257300</xdr:colOff>
      <xdr:row>43</xdr:row>
      <xdr:rowOff>0</xdr:rowOff>
    </xdr:to>
    <xdr:sp macro="" textlink="">
      <xdr:nvSpPr>
        <xdr:cNvPr id="40961" name="Text Box 1"/>
        <xdr:cNvSpPr txBox="1">
          <a:spLocks noChangeArrowheads="1"/>
        </xdr:cNvSpPr>
      </xdr:nvSpPr>
      <xdr:spPr bwMode="auto">
        <a:xfrm>
          <a:off x="933450" y="6648450"/>
          <a:ext cx="6772275" cy="50482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just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Nota: Esta información deberá presentarse en disquete o disco compacto.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17</xdr:row>
      <xdr:rowOff>57150</xdr:rowOff>
    </xdr:from>
    <xdr:to>
      <xdr:col>5</xdr:col>
      <xdr:colOff>2238375</xdr:colOff>
      <xdr:row>42</xdr:row>
      <xdr:rowOff>85725</xdr:rowOff>
    </xdr:to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76200" y="3038475"/>
          <a:ext cx="8801100" cy="407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28575</xdr:colOff>
      <xdr:row>7</xdr:row>
      <xdr:rowOff>19050</xdr:rowOff>
    </xdr:from>
    <xdr:to>
      <xdr:col>5</xdr:col>
      <xdr:colOff>2286000</xdr:colOff>
      <xdr:row>16</xdr:row>
      <xdr:rowOff>142875</xdr:rowOff>
    </xdr:to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6667500" y="1219200"/>
          <a:ext cx="225742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7</xdr:row>
      <xdr:rowOff>57150</xdr:rowOff>
    </xdr:from>
    <xdr:to>
      <xdr:col>5</xdr:col>
      <xdr:colOff>2257425</xdr:colOff>
      <xdr:row>33</xdr:row>
      <xdr:rowOff>0</xdr:rowOff>
    </xdr:to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6724650" y="1257300"/>
          <a:ext cx="2200275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33</xdr:row>
      <xdr:rowOff>38100</xdr:rowOff>
    </xdr:from>
    <xdr:to>
      <xdr:col>5</xdr:col>
      <xdr:colOff>2247900</xdr:colOff>
      <xdr:row>45</xdr:row>
      <xdr:rowOff>0</xdr:rowOff>
    </xdr:to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19050" y="5448300"/>
          <a:ext cx="889635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7</xdr:row>
      <xdr:rowOff>19050</xdr:rowOff>
    </xdr:from>
    <xdr:to>
      <xdr:col>5</xdr:col>
      <xdr:colOff>2638425</xdr:colOff>
      <xdr:row>24</xdr:row>
      <xdr:rowOff>152400</xdr:rowOff>
    </xdr:to>
    <xdr:sp macro="" textlink="">
      <xdr:nvSpPr>
        <xdr:cNvPr id="6285" name="Text Box 1"/>
        <xdr:cNvSpPr txBox="1">
          <a:spLocks noChangeArrowheads="1"/>
        </xdr:cNvSpPr>
      </xdr:nvSpPr>
      <xdr:spPr bwMode="auto">
        <a:xfrm>
          <a:off x="6467475" y="1219200"/>
          <a:ext cx="2600325" cy="288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25</xdr:row>
      <xdr:rowOff>57150</xdr:rowOff>
    </xdr:from>
    <xdr:to>
      <xdr:col>5</xdr:col>
      <xdr:colOff>2647950</xdr:colOff>
      <xdr:row>44</xdr:row>
      <xdr:rowOff>95250</xdr:rowOff>
    </xdr:to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19050" y="4171950"/>
          <a:ext cx="9058275" cy="3114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7</xdr:row>
      <xdr:rowOff>57150</xdr:rowOff>
    </xdr:from>
    <xdr:to>
      <xdr:col>5</xdr:col>
      <xdr:colOff>1809750</xdr:colOff>
      <xdr:row>27</xdr:row>
      <xdr:rowOff>152400</xdr:rowOff>
    </xdr:to>
    <xdr:sp macro="" textlink="">
      <xdr:nvSpPr>
        <xdr:cNvPr id="7240" name="Text Box 1"/>
        <xdr:cNvSpPr txBox="1">
          <a:spLocks noChangeArrowheads="1"/>
        </xdr:cNvSpPr>
      </xdr:nvSpPr>
      <xdr:spPr bwMode="auto">
        <a:xfrm>
          <a:off x="6486525" y="1257300"/>
          <a:ext cx="1752600" cy="333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9525</xdr:rowOff>
    </xdr:from>
    <xdr:to>
      <xdr:col>5</xdr:col>
      <xdr:colOff>2638425</xdr:colOff>
      <xdr:row>21</xdr:row>
      <xdr:rowOff>0</xdr:rowOff>
    </xdr:to>
    <xdr:sp macro="" textlink="">
      <xdr:nvSpPr>
        <xdr:cNvPr id="8333" name="Text Box 1"/>
        <xdr:cNvSpPr txBox="1">
          <a:spLocks noChangeArrowheads="1"/>
        </xdr:cNvSpPr>
      </xdr:nvSpPr>
      <xdr:spPr bwMode="auto">
        <a:xfrm>
          <a:off x="6429375" y="1209675"/>
          <a:ext cx="2638425" cy="205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</xdr:colOff>
      <xdr:row>21</xdr:row>
      <xdr:rowOff>0</xdr:rowOff>
    </xdr:from>
    <xdr:to>
      <xdr:col>5</xdr:col>
      <xdr:colOff>2524125</xdr:colOff>
      <xdr:row>45</xdr:row>
      <xdr:rowOff>9525</xdr:rowOff>
    </xdr:to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57150" y="3381375"/>
          <a:ext cx="8896350" cy="381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7</xdr:row>
      <xdr:rowOff>38100</xdr:rowOff>
    </xdr:from>
    <xdr:to>
      <xdr:col>5</xdr:col>
      <xdr:colOff>2476500</xdr:colOff>
      <xdr:row>22</xdr:row>
      <xdr:rowOff>0</xdr:rowOff>
    </xdr:to>
    <xdr:sp macro="" textlink="">
      <xdr:nvSpPr>
        <xdr:cNvPr id="9357" name="Text Box 1"/>
        <xdr:cNvSpPr txBox="1">
          <a:spLocks noChangeArrowheads="1"/>
        </xdr:cNvSpPr>
      </xdr:nvSpPr>
      <xdr:spPr bwMode="auto">
        <a:xfrm>
          <a:off x="6486525" y="1238250"/>
          <a:ext cx="241935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22</xdr:row>
      <xdr:rowOff>0</xdr:rowOff>
    </xdr:from>
    <xdr:to>
      <xdr:col>5</xdr:col>
      <xdr:colOff>2428875</xdr:colOff>
      <xdr:row>45</xdr:row>
      <xdr:rowOff>0</xdr:rowOff>
    </xdr:to>
    <xdr:sp macro="" textlink="">
      <xdr:nvSpPr>
        <xdr:cNvPr id="9358" name="Text Box 2"/>
        <xdr:cNvSpPr txBox="1">
          <a:spLocks noChangeArrowheads="1"/>
        </xdr:cNvSpPr>
      </xdr:nvSpPr>
      <xdr:spPr bwMode="auto">
        <a:xfrm>
          <a:off x="38100" y="3524250"/>
          <a:ext cx="8820150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\Mis%20Documentos\INFORMES%20TRIMESTRALES\INFORME%204TO%20TRIM%2010%20ANALISIS-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rsmbautista/Mis%20documentos/PRESUPUESTOS%202012/modificacion%20al%20presupuesto%202011/PRESUPUESTO%20MODIFICADO%20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Ingresos"/>
      <sheetName val="Ingresos Reales"/>
      <sheetName val="Analisis Ingr."/>
      <sheetName val="Impuestos"/>
      <sheetName val="Derechos"/>
      <sheetName val="Contribuciones"/>
      <sheetName val="Productos"/>
      <sheetName val="Aprovechamientos"/>
      <sheetName val="Participaciones"/>
      <sheetName val="FISM"/>
      <sheetName val="FFM"/>
      <sheetName val="F. Desc."/>
      <sheetName val="Otras Aport."/>
      <sheetName val="Vecinos"/>
      <sheetName val="Financiamientos"/>
      <sheetName val="Otros"/>
      <sheetName val="Presupuesto Egresos"/>
      <sheetName val="Egresos Reales"/>
      <sheetName val="Análisis Egresos"/>
      <sheetName val="Admón Púb."/>
      <sheetName val="Serv. Com."/>
      <sheetName val="Des. Soc"/>
      <sheetName val="Mtto."/>
      <sheetName val="Adquisiciones"/>
      <sheetName val="Des. Urb"/>
      <sheetName val="FISM Egresos"/>
      <sheetName val="FAFM Egresos "/>
      <sheetName val="Obligaciones Financieras"/>
      <sheetName val="Otros Egresos"/>
      <sheetName val="Ing y Egr"/>
    </sheetNames>
    <sheetDataSet>
      <sheetData sheetId="0"/>
      <sheetData sheetId="1"/>
      <sheetData sheetId="2">
        <row r="9">
          <cell r="A9" t="str">
            <v>IMPUESTOS</v>
          </cell>
          <cell r="B9">
            <v>22338699.609999999</v>
          </cell>
          <cell r="C9">
            <v>31855669.039999999</v>
          </cell>
          <cell r="D9">
            <v>27596000</v>
          </cell>
          <cell r="E9">
            <v>4259669.04</v>
          </cell>
          <cell r="F9">
            <v>160694677.97999999</v>
          </cell>
          <cell r="G9">
            <v>186662382.79999998</v>
          </cell>
          <cell r="H9">
            <v>171049000</v>
          </cell>
          <cell r="I9">
            <v>15613382.799999982</v>
          </cell>
        </row>
        <row r="11">
          <cell r="A11" t="str">
            <v>DERECHOS</v>
          </cell>
          <cell r="B11">
            <v>11263421.83</v>
          </cell>
          <cell r="C11">
            <v>16075455.990000002</v>
          </cell>
          <cell r="D11">
            <v>17953000</v>
          </cell>
          <cell r="E11">
            <v>-1877544.01</v>
          </cell>
          <cell r="F11">
            <v>65000987.799999997</v>
          </cell>
          <cell r="G11">
            <v>46651605.599999994</v>
          </cell>
          <cell r="H11">
            <v>72588000</v>
          </cell>
          <cell r="I11">
            <v>-25936394.400000006</v>
          </cell>
        </row>
        <row r="13">
          <cell r="A13" t="str">
            <v>CONTRIBUCIONES NUEVOS FRACC.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5">
          <cell r="A15" t="str">
            <v>PRODUCTOS</v>
          </cell>
          <cell r="B15">
            <v>2314157.27</v>
          </cell>
          <cell r="C15">
            <v>428726.55</v>
          </cell>
          <cell r="D15">
            <v>1663000</v>
          </cell>
          <cell r="E15">
            <v>-1234273.45</v>
          </cell>
          <cell r="F15">
            <v>7717222.96</v>
          </cell>
          <cell r="G15">
            <v>5941521.0399999982</v>
          </cell>
          <cell r="H15">
            <v>6883000</v>
          </cell>
          <cell r="I15">
            <v>-941478.96000000183</v>
          </cell>
        </row>
        <row r="17">
          <cell r="A17" t="str">
            <v>APROVECHAMIENTOS</v>
          </cell>
          <cell r="B17">
            <v>9990194.7999999989</v>
          </cell>
          <cell r="C17">
            <v>17107294.98</v>
          </cell>
          <cell r="D17">
            <v>8409000</v>
          </cell>
          <cell r="E17">
            <v>8698294.9800000004</v>
          </cell>
          <cell r="F17">
            <v>37345856.679999992</v>
          </cell>
          <cell r="G17">
            <v>52004831.759999998</v>
          </cell>
          <cell r="H17">
            <v>37959000</v>
          </cell>
          <cell r="I17">
            <v>14045831.759999998</v>
          </cell>
        </row>
        <row r="19">
          <cell r="A19" t="str">
            <v>PARTICIPACIONES</v>
          </cell>
          <cell r="B19">
            <v>63804490</v>
          </cell>
          <cell r="C19">
            <v>64269991</v>
          </cell>
          <cell r="D19">
            <v>61307333</v>
          </cell>
          <cell r="E19">
            <v>2962658</v>
          </cell>
          <cell r="F19">
            <v>235721772</v>
          </cell>
          <cell r="G19">
            <v>273131748</v>
          </cell>
          <cell r="H19">
            <v>233382333</v>
          </cell>
          <cell r="I19">
            <v>39749415</v>
          </cell>
        </row>
        <row r="21">
          <cell r="A21" t="str">
            <v>F.I.S.M.</v>
          </cell>
          <cell r="B21">
            <v>1393947.65</v>
          </cell>
          <cell r="C21">
            <v>1246351.76</v>
          </cell>
          <cell r="D21">
            <v>1489436</v>
          </cell>
          <cell r="E21">
            <v>-243084.24</v>
          </cell>
          <cell r="F21">
            <v>13728069.99</v>
          </cell>
          <cell r="G21">
            <v>11923580.35</v>
          </cell>
          <cell r="H21">
            <v>14546868</v>
          </cell>
          <cell r="I21">
            <v>-2623287.6500000004</v>
          </cell>
        </row>
        <row r="23">
          <cell r="A23" t="str">
            <v>FORTAMUN</v>
          </cell>
          <cell r="B23">
            <v>42049196.729999997</v>
          </cell>
          <cell r="C23">
            <v>43808860.520000003</v>
          </cell>
          <cell r="D23">
            <v>43199269</v>
          </cell>
          <cell r="E23">
            <v>609591.52000000328</v>
          </cell>
          <cell r="F23">
            <v>169134976.18000001</v>
          </cell>
          <cell r="G23">
            <v>175205624.22</v>
          </cell>
          <cell r="H23">
            <v>173640482</v>
          </cell>
          <cell r="I23">
            <v>1565142.2199999988</v>
          </cell>
        </row>
        <row r="25">
          <cell r="A25" t="str">
            <v>FONDOS DESCENTRALIZADOS</v>
          </cell>
          <cell r="B25">
            <v>197382.88</v>
          </cell>
          <cell r="C25">
            <v>0</v>
          </cell>
          <cell r="D25">
            <v>0</v>
          </cell>
          <cell r="E25">
            <v>0</v>
          </cell>
          <cell r="F25">
            <v>1676899.17</v>
          </cell>
          <cell r="G25">
            <v>2553651.7599999998</v>
          </cell>
          <cell r="H25">
            <v>4381055</v>
          </cell>
          <cell r="I25">
            <v>-1827403.2400000002</v>
          </cell>
        </row>
        <row r="27">
          <cell r="A27" t="str">
            <v>OTRAS APORTACIONES</v>
          </cell>
          <cell r="B27">
            <v>23585378.699999999</v>
          </cell>
          <cell r="C27">
            <v>31971964.780000001</v>
          </cell>
          <cell r="D27">
            <v>3660000</v>
          </cell>
          <cell r="E27">
            <v>28311964.780000001</v>
          </cell>
          <cell r="F27">
            <v>139935206.97</v>
          </cell>
          <cell r="G27">
            <v>64944745.189999998</v>
          </cell>
          <cell r="H27">
            <v>50603500</v>
          </cell>
          <cell r="I27">
            <v>14341245.189999998</v>
          </cell>
        </row>
        <row r="29">
          <cell r="A29" t="str">
            <v>CONTRIBUCION DE VECINOS</v>
          </cell>
          <cell r="B29">
            <v>0</v>
          </cell>
          <cell r="C29">
            <v>2500</v>
          </cell>
          <cell r="D29">
            <v>0</v>
          </cell>
          <cell r="E29">
            <v>2500</v>
          </cell>
          <cell r="F29">
            <v>586300</v>
          </cell>
          <cell r="G29">
            <v>2500</v>
          </cell>
          <cell r="H29">
            <v>0</v>
          </cell>
          <cell r="I29">
            <v>2500</v>
          </cell>
        </row>
        <row r="31">
          <cell r="A31" t="str">
            <v>FINANCIAMIENTO</v>
          </cell>
          <cell r="B31">
            <v>40000000</v>
          </cell>
          <cell r="C31">
            <v>150000000</v>
          </cell>
          <cell r="D31">
            <v>0</v>
          </cell>
          <cell r="E31">
            <v>150000000</v>
          </cell>
          <cell r="F31">
            <v>55000000</v>
          </cell>
          <cell r="G31">
            <v>188608463.19999999</v>
          </cell>
          <cell r="H31">
            <v>75283323.799999997</v>
          </cell>
          <cell r="I31">
            <v>113325139.39999999</v>
          </cell>
        </row>
        <row r="33">
          <cell r="A33" t="str">
            <v>OTROS</v>
          </cell>
          <cell r="B33">
            <v>1600808.64</v>
          </cell>
          <cell r="C33">
            <v>122139.39</v>
          </cell>
          <cell r="D33">
            <v>0</v>
          </cell>
          <cell r="E33">
            <v>122139.39</v>
          </cell>
          <cell r="F33">
            <v>5467624.3899999997</v>
          </cell>
          <cell r="G33">
            <v>4920860.7699999996</v>
          </cell>
          <cell r="H33">
            <v>0</v>
          </cell>
          <cell r="I33">
            <v>4920860.7699999996</v>
          </cell>
        </row>
      </sheetData>
      <sheetData sheetId="3">
        <row r="10">
          <cell r="A10" t="str">
            <v>Predial</v>
          </cell>
          <cell r="B10">
            <v>5379764</v>
          </cell>
          <cell r="C10">
            <v>8590531</v>
          </cell>
          <cell r="D10">
            <v>6935000</v>
          </cell>
          <cell r="E10">
            <v>1655531</v>
          </cell>
          <cell r="F10">
            <v>83916496</v>
          </cell>
          <cell r="G10">
            <v>98069723</v>
          </cell>
          <cell r="H10">
            <v>88335000</v>
          </cell>
          <cell r="I10">
            <v>9734723</v>
          </cell>
        </row>
        <row r="12">
          <cell r="A12" t="str">
            <v>Adquisición de Inmuebles</v>
          </cell>
          <cell r="B12">
            <v>16942641.609999999</v>
          </cell>
          <cell r="C12">
            <v>23247779.039999999</v>
          </cell>
          <cell r="D12">
            <v>20616000</v>
          </cell>
          <cell r="E12">
            <v>2631779.0399999991</v>
          </cell>
          <cell r="F12">
            <v>76612594.729999989</v>
          </cell>
          <cell r="G12">
            <v>88514790.099999994</v>
          </cell>
          <cell r="H12">
            <v>82464000</v>
          </cell>
          <cell r="I12">
            <v>6050790.099999994</v>
          </cell>
        </row>
        <row r="14">
          <cell r="A14" t="str">
            <v>Diversiones y Espectáculos Públicos</v>
          </cell>
          <cell r="B14">
            <v>16294</v>
          </cell>
          <cell r="C14">
            <v>17359</v>
          </cell>
          <cell r="D14">
            <v>45000</v>
          </cell>
          <cell r="E14">
            <v>-27641</v>
          </cell>
          <cell r="F14">
            <v>165587.25</v>
          </cell>
          <cell r="G14">
            <v>77869.7</v>
          </cell>
          <cell r="H14">
            <v>250000</v>
          </cell>
          <cell r="I14">
            <v>-172130.3</v>
          </cell>
        </row>
        <row r="16">
          <cell r="A16" t="str">
            <v>Juegos Permitidos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A18" t="str">
            <v>Aum. de Valor y Mej. Específica de la Prop.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0">
          <cell r="A20" t="str">
            <v>Recargos y Accesorios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</sheetData>
      <sheetData sheetId="4">
        <row r="10">
          <cell r="A10" t="str">
            <v>Cooperación para Obras Públicas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2">
          <cell r="A12" t="str">
            <v>Servicios Públicos</v>
          </cell>
          <cell r="B12">
            <v>73014.600000000006</v>
          </cell>
          <cell r="C12">
            <v>120355</v>
          </cell>
          <cell r="D12">
            <v>130000</v>
          </cell>
          <cell r="E12">
            <v>-9645</v>
          </cell>
          <cell r="F12">
            <v>464378.12</v>
          </cell>
          <cell r="G12">
            <v>720461.65</v>
          </cell>
        </row>
        <row r="14">
          <cell r="A14" t="str">
            <v>Construcciones y Urbanizaciones</v>
          </cell>
          <cell r="B14">
            <v>8614253.4299999997</v>
          </cell>
          <cell r="C14">
            <v>13486086.420000002</v>
          </cell>
          <cell r="D14">
            <v>14597000</v>
          </cell>
          <cell r="E14">
            <v>-1110913.5799999982</v>
          </cell>
          <cell r="F14">
            <v>52137136.450000003</v>
          </cell>
          <cell r="G14">
            <v>33750103.789999999</v>
          </cell>
        </row>
        <row r="16">
          <cell r="A16" t="str">
            <v>Certi., Aut., Const. y Registros</v>
          </cell>
          <cell r="B16">
            <v>98686</v>
          </cell>
          <cell r="C16">
            <v>245142</v>
          </cell>
          <cell r="D16">
            <v>160000</v>
          </cell>
          <cell r="E16">
            <v>85142</v>
          </cell>
          <cell r="F16">
            <v>670393.57999999996</v>
          </cell>
          <cell r="G16">
            <v>948185</v>
          </cell>
        </row>
        <row r="18">
          <cell r="A18" t="str">
            <v>Inscripción y Refrendo</v>
          </cell>
          <cell r="B18">
            <v>689902.1</v>
          </cell>
          <cell r="C18">
            <v>269415.34999999998</v>
          </cell>
          <cell r="D18">
            <v>520000</v>
          </cell>
          <cell r="E18">
            <v>-250584.65000000002</v>
          </cell>
          <cell r="F18">
            <v>3522085.29</v>
          </cell>
          <cell r="G18">
            <v>3117576.209999999</v>
          </cell>
        </row>
        <row r="20">
          <cell r="A20" t="str">
            <v>Revisión, Inspección y Servicios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2">
          <cell r="A22" t="str">
            <v>Expedición de Licencias</v>
          </cell>
          <cell r="B22">
            <v>454519.4</v>
          </cell>
          <cell r="C22">
            <v>589180.80000000005</v>
          </cell>
          <cell r="D22">
            <v>800000</v>
          </cell>
          <cell r="E22">
            <v>-210819.19999999995</v>
          </cell>
          <cell r="F22">
            <v>2315085.89</v>
          </cell>
          <cell r="G22">
            <v>2392695.8000000003</v>
          </cell>
        </row>
        <row r="24">
          <cell r="A24" t="str">
            <v>Limpieza de Lotes Baldíos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6">
          <cell r="A26" t="str">
            <v>Limpia y Rec. de Des. Indus. y Com.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8">
          <cell r="A28" t="str">
            <v>Ocupación de la Vía Pública</v>
          </cell>
          <cell r="B28">
            <v>231653.9</v>
          </cell>
          <cell r="C28">
            <v>83030.100000000006</v>
          </cell>
          <cell r="D28">
            <v>116000</v>
          </cell>
          <cell r="E28">
            <v>-32969.899999999994</v>
          </cell>
          <cell r="F28">
            <v>411885.3</v>
          </cell>
          <cell r="G28">
            <v>774916.1</v>
          </cell>
        </row>
        <row r="30">
          <cell r="A30" t="str">
            <v>Diversos</v>
          </cell>
          <cell r="B30">
            <v>1101392.3999999999</v>
          </cell>
          <cell r="C30">
            <v>1282246.32</v>
          </cell>
          <cell r="D30">
            <v>1630000</v>
          </cell>
          <cell r="E30">
            <v>-347753.67999999993</v>
          </cell>
          <cell r="F30">
            <v>5480023.1699999999</v>
          </cell>
          <cell r="G30">
            <v>4947667.05</v>
          </cell>
        </row>
        <row r="32">
          <cell r="A32" t="str">
            <v>Recargos y Accesorios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</sheetData>
      <sheetData sheetId="5"/>
      <sheetData sheetId="6">
        <row r="10">
          <cell r="A10" t="str">
            <v>Enajenación de Bienes Mueb. e Inmuebles</v>
          </cell>
          <cell r="B10">
            <v>1792440.38</v>
          </cell>
          <cell r="C10">
            <v>88049</v>
          </cell>
          <cell r="D10">
            <v>114000</v>
          </cell>
          <cell r="E10">
            <v>-25951</v>
          </cell>
          <cell r="F10">
            <v>2089809.38</v>
          </cell>
          <cell r="G10">
            <v>2059771.38</v>
          </cell>
          <cell r="H10">
            <v>492000</v>
          </cell>
        </row>
        <row r="12">
          <cell r="A12" t="str">
            <v>Arren. o Explotación de Bienes Mueb.o Inm.</v>
          </cell>
          <cell r="B12">
            <v>138088.72</v>
          </cell>
          <cell r="C12">
            <v>188806.53</v>
          </cell>
          <cell r="D12">
            <v>550000</v>
          </cell>
          <cell r="E12">
            <v>-361193.47</v>
          </cell>
          <cell r="F12">
            <v>2122108.0499999998</v>
          </cell>
          <cell r="G12">
            <v>2323228.4199999995</v>
          </cell>
          <cell r="H12">
            <v>2260000</v>
          </cell>
        </row>
        <row r="14">
          <cell r="A14" t="str">
            <v>Créditos a favor del Municipio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6">
          <cell r="A16" t="str">
            <v>Establecimientos o Emp. que dep. del Mpio.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8">
          <cell r="A18" t="str">
            <v>Venta de Bienes Mostrencos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20">
          <cell r="A20" t="str">
            <v>Vta. de Obj. Rec. Dptos. Admón.. Mpal.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2">
          <cell r="A22" t="str">
            <v>Depósito de Escombros y Desechos Veg.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A24" t="str">
            <v>Vta. de Impresos, Formatos y Papel Esp.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6">
          <cell r="A26" t="str">
            <v>Intereses</v>
          </cell>
          <cell r="B26">
            <v>378009.17</v>
          </cell>
          <cell r="C26">
            <v>144299.35999999999</v>
          </cell>
          <cell r="D26">
            <v>980000</v>
          </cell>
          <cell r="E26">
            <v>-835700.64</v>
          </cell>
          <cell r="F26">
            <v>3434384.89</v>
          </cell>
          <cell r="G26">
            <v>1503076.64</v>
          </cell>
          <cell r="H26">
            <v>4040000</v>
          </cell>
        </row>
        <row r="28">
          <cell r="A28" t="str">
            <v>Eventos Municipales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30">
          <cell r="A30" t="str">
            <v>Diversos</v>
          </cell>
          <cell r="B30">
            <v>5619</v>
          </cell>
          <cell r="C30">
            <v>7571.66</v>
          </cell>
          <cell r="D30">
            <v>19000</v>
          </cell>
          <cell r="E30">
            <v>-11428.34</v>
          </cell>
          <cell r="F30">
            <v>70920.639999999999</v>
          </cell>
          <cell r="G30">
            <v>55444.600000000006</v>
          </cell>
          <cell r="H30">
            <v>91000</v>
          </cell>
        </row>
      </sheetData>
      <sheetData sheetId="7">
        <row r="10">
          <cell r="A10" t="str">
            <v>Multas</v>
          </cell>
          <cell r="B10">
            <v>5487256.9699999997</v>
          </cell>
          <cell r="C10">
            <v>4298152.38</v>
          </cell>
          <cell r="D10">
            <v>4540000</v>
          </cell>
          <cell r="E10">
            <v>-241847.62</v>
          </cell>
          <cell r="F10">
            <v>19592368.749999996</v>
          </cell>
          <cell r="G10">
            <v>24909694.429999996</v>
          </cell>
          <cell r="H10">
            <v>20465000</v>
          </cell>
          <cell r="I10">
            <v>4444694.429999996</v>
          </cell>
        </row>
        <row r="12">
          <cell r="A12" t="str">
            <v>Donativos</v>
          </cell>
          <cell r="B12">
            <v>3390054.91</v>
          </cell>
          <cell r="C12">
            <v>11087874.98</v>
          </cell>
          <cell r="D12">
            <v>2663000</v>
          </cell>
          <cell r="E12">
            <v>8424874.9800000004</v>
          </cell>
          <cell r="F12">
            <v>13278425.780000001</v>
          </cell>
          <cell r="G12">
            <v>22157900.539999999</v>
          </cell>
          <cell r="H12">
            <v>12863000</v>
          </cell>
          <cell r="I12">
            <v>9294900.5399999991</v>
          </cell>
        </row>
        <row r="14">
          <cell r="A14" t="str">
            <v>Subsidios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6">
          <cell r="A16" t="str">
            <v>Cauciones cuya pérdida se dec. fav. Mpio.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A18" t="str">
            <v>Indemnizaciones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0">
          <cell r="A20" t="str">
            <v>Diversos</v>
          </cell>
          <cell r="B20">
            <v>177572.95</v>
          </cell>
          <cell r="C20">
            <v>235504.75</v>
          </cell>
          <cell r="D20">
            <v>216000</v>
          </cell>
          <cell r="E20">
            <v>19504.75</v>
          </cell>
          <cell r="F20">
            <v>996070.6</v>
          </cell>
          <cell r="G20">
            <v>935017.69</v>
          </cell>
          <cell r="H20">
            <v>1026000</v>
          </cell>
          <cell r="I20">
            <v>-90982.310000000056</v>
          </cell>
        </row>
        <row r="22">
          <cell r="A22" t="str">
            <v>Recargos y Accesorios</v>
          </cell>
          <cell r="B22">
            <v>935309.97</v>
          </cell>
          <cell r="C22">
            <v>1485762.87</v>
          </cell>
          <cell r="D22">
            <v>990000</v>
          </cell>
          <cell r="E22">
            <v>495762.87</v>
          </cell>
          <cell r="F22">
            <v>3478991.55</v>
          </cell>
          <cell r="G22">
            <v>4002219.1</v>
          </cell>
          <cell r="H22">
            <v>3605000</v>
          </cell>
          <cell r="I22">
            <v>397219.10000000009</v>
          </cell>
        </row>
      </sheetData>
      <sheetData sheetId="8">
        <row r="10">
          <cell r="A10" t="str">
            <v>Fondo General de Participaciones</v>
          </cell>
          <cell r="B10">
            <v>48460499</v>
          </cell>
          <cell r="C10">
            <v>47876510</v>
          </cell>
          <cell r="D10">
            <v>47746333</v>
          </cell>
          <cell r="E10">
            <v>130177</v>
          </cell>
          <cell r="F10">
            <v>168183316</v>
          </cell>
          <cell r="G10">
            <v>197237652</v>
          </cell>
          <cell r="H10">
            <v>166171333</v>
          </cell>
          <cell r="I10">
            <v>31066319</v>
          </cell>
        </row>
        <row r="12">
          <cell r="A12" t="str">
            <v>Fondo Nacional de Fomento Municipal</v>
          </cell>
          <cell r="B12">
            <v>4627088</v>
          </cell>
          <cell r="C12">
            <v>4753544</v>
          </cell>
          <cell r="D12">
            <v>4377000</v>
          </cell>
          <cell r="E12">
            <v>376544</v>
          </cell>
          <cell r="F12">
            <v>14389027</v>
          </cell>
          <cell r="G12">
            <v>17878916</v>
          </cell>
          <cell r="H12">
            <v>14477000</v>
          </cell>
          <cell r="I12">
            <v>3401916</v>
          </cell>
        </row>
        <row r="14">
          <cell r="A14" t="str">
            <v>Fondo para el Reord. Comercio Urbano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6">
          <cell r="A16" t="str">
            <v>Tenencia</v>
          </cell>
          <cell r="B16">
            <v>1183475</v>
          </cell>
          <cell r="C16">
            <v>1522190</v>
          </cell>
          <cell r="D16">
            <v>1398000</v>
          </cell>
          <cell r="E16">
            <v>124190</v>
          </cell>
          <cell r="F16">
            <v>16956466</v>
          </cell>
          <cell r="G16">
            <v>18445169</v>
          </cell>
          <cell r="H16">
            <v>17888000</v>
          </cell>
          <cell r="I16">
            <v>557169</v>
          </cell>
        </row>
        <row r="18">
          <cell r="A18" t="str">
            <v>Control Vehícular</v>
          </cell>
          <cell r="B18">
            <v>300714</v>
          </cell>
          <cell r="C18">
            <v>0</v>
          </cell>
          <cell r="D18">
            <v>197000</v>
          </cell>
          <cell r="E18">
            <v>-197000</v>
          </cell>
          <cell r="F18">
            <v>1430021</v>
          </cell>
          <cell r="G18">
            <v>1126270</v>
          </cell>
          <cell r="H18">
            <v>1477000</v>
          </cell>
          <cell r="I18">
            <v>-350730</v>
          </cell>
        </row>
        <row r="20">
          <cell r="A20" t="str">
            <v>Impuesto sobre Automóviles Nuevos</v>
          </cell>
          <cell r="B20">
            <v>1170457</v>
          </cell>
          <cell r="C20">
            <v>1215178</v>
          </cell>
          <cell r="D20">
            <v>982000</v>
          </cell>
          <cell r="E20">
            <v>233178</v>
          </cell>
          <cell r="F20">
            <v>5644954</v>
          </cell>
          <cell r="G20">
            <v>4840054</v>
          </cell>
          <cell r="H20">
            <v>5622000</v>
          </cell>
          <cell r="I20">
            <v>-781946</v>
          </cell>
        </row>
        <row r="22">
          <cell r="A22" t="str">
            <v>Impuesto Esp. sobre Producción y Servicios</v>
          </cell>
          <cell r="B22">
            <v>1725086</v>
          </cell>
          <cell r="C22">
            <v>2184128</v>
          </cell>
          <cell r="D22">
            <v>1534000</v>
          </cell>
          <cell r="E22">
            <v>650128</v>
          </cell>
          <cell r="F22">
            <v>5923717</v>
          </cell>
          <cell r="G22">
            <v>7130470</v>
          </cell>
          <cell r="H22">
            <v>5904000</v>
          </cell>
          <cell r="I22">
            <v>1226470</v>
          </cell>
        </row>
        <row r="24">
          <cell r="A24" t="str">
            <v>Fondo de Fiscalización</v>
          </cell>
          <cell r="B24">
            <v>2017378</v>
          </cell>
          <cell r="C24">
            <v>2210026</v>
          </cell>
          <cell r="D24">
            <v>2119000</v>
          </cell>
          <cell r="E24">
            <v>91026</v>
          </cell>
          <cell r="F24">
            <v>7647435</v>
          </cell>
          <cell r="G24">
            <v>8906237</v>
          </cell>
          <cell r="H24">
            <v>7939000</v>
          </cell>
          <cell r="I24">
            <v>967237</v>
          </cell>
        </row>
        <row r="26">
          <cell r="A26" t="str">
            <v>Gasolina y Diesel</v>
          </cell>
          <cell r="B26">
            <v>4319793</v>
          </cell>
          <cell r="C26">
            <v>4508415</v>
          </cell>
          <cell r="D26">
            <v>2954000</v>
          </cell>
          <cell r="E26">
            <v>1554415</v>
          </cell>
          <cell r="F26">
            <v>15546836</v>
          </cell>
          <cell r="G26">
            <v>17566980</v>
          </cell>
          <cell r="H26">
            <v>13904000</v>
          </cell>
          <cell r="I26">
            <v>3662980</v>
          </cell>
        </row>
      </sheetData>
      <sheetData sheetId="9">
        <row r="10">
          <cell r="A10" t="str">
            <v>Aportación Federal</v>
          </cell>
          <cell r="B10">
            <v>1347776.49</v>
          </cell>
          <cell r="C10">
            <v>1164119.99</v>
          </cell>
          <cell r="D10">
            <v>1419086</v>
          </cell>
          <cell r="E10">
            <v>-254966.01</v>
          </cell>
          <cell r="F10">
            <v>13477764.9</v>
          </cell>
          <cell r="G10">
            <v>11641199.9</v>
          </cell>
          <cell r="H10">
            <v>14190868</v>
          </cell>
          <cell r="I10">
            <v>-2549668.0999999996</v>
          </cell>
        </row>
        <row r="12">
          <cell r="A12" t="str">
            <v>Intereses infra 2007</v>
          </cell>
          <cell r="B12">
            <v>3148.69</v>
          </cell>
          <cell r="C12">
            <v>45002.479999999996</v>
          </cell>
          <cell r="D12">
            <v>0</v>
          </cell>
          <cell r="E12">
            <v>45002.479999999996</v>
          </cell>
          <cell r="F12">
            <v>59947.39</v>
          </cell>
          <cell r="G12">
            <v>132228.27000000002</v>
          </cell>
          <cell r="H12">
            <v>0</v>
          </cell>
          <cell r="I12">
            <v>132228.27000000002</v>
          </cell>
        </row>
        <row r="14">
          <cell r="A14" t="str">
            <v>Intereses infra 2008</v>
          </cell>
          <cell r="B14">
            <v>2093.7800000000002</v>
          </cell>
          <cell r="C14">
            <v>2506.5300000000002</v>
          </cell>
          <cell r="D14">
            <v>12300</v>
          </cell>
          <cell r="E14">
            <v>-9793.4699999999993</v>
          </cell>
          <cell r="F14">
            <v>27922.85</v>
          </cell>
          <cell r="G14">
            <v>10370</v>
          </cell>
          <cell r="H14">
            <v>121550</v>
          </cell>
          <cell r="I14">
            <v>-111180</v>
          </cell>
        </row>
        <row r="16">
          <cell r="A16" t="str">
            <v>Intereses infra 2009</v>
          </cell>
          <cell r="B16">
            <v>40928.69</v>
          </cell>
          <cell r="C16">
            <v>34722.76</v>
          </cell>
          <cell r="D16">
            <v>2000</v>
          </cell>
          <cell r="E16">
            <v>32722.760000000002</v>
          </cell>
          <cell r="F16">
            <v>162434.85</v>
          </cell>
          <cell r="G16">
            <v>130272.25000000001</v>
          </cell>
          <cell r="H16">
            <v>122400</v>
          </cell>
          <cell r="I16">
            <v>7872.2500000000146</v>
          </cell>
        </row>
        <row r="18">
          <cell r="A18" t="str">
            <v>Intereses infra 2010</v>
          </cell>
          <cell r="C18">
            <v>0</v>
          </cell>
          <cell r="D18">
            <v>56050</v>
          </cell>
          <cell r="E18">
            <v>-56050</v>
          </cell>
          <cell r="G18">
            <v>9509.93</v>
          </cell>
          <cell r="H18">
            <v>112050</v>
          </cell>
          <cell r="I18">
            <v>-102540.07</v>
          </cell>
        </row>
      </sheetData>
      <sheetData sheetId="10">
        <row r="10">
          <cell r="A10" t="str">
            <v>Aportación Federal</v>
          </cell>
          <cell r="B10">
            <v>41982708.420000002</v>
          </cell>
          <cell r="C10">
            <v>43727625.420000002</v>
          </cell>
          <cell r="D10">
            <v>43035619</v>
          </cell>
          <cell r="E10">
            <v>692006.42000000179</v>
          </cell>
          <cell r="F10">
            <v>167930833.68000001</v>
          </cell>
          <cell r="G10">
            <v>174910501.68000001</v>
          </cell>
          <cell r="H10">
            <v>172142482</v>
          </cell>
          <cell r="I10">
            <v>2768019.6800000072</v>
          </cell>
        </row>
        <row r="12">
          <cell r="A12" t="str">
            <v>Intereses forta 2007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11695.96</v>
          </cell>
          <cell r="G12">
            <v>0</v>
          </cell>
          <cell r="H12">
            <v>0</v>
          </cell>
          <cell r="I12">
            <v>0</v>
          </cell>
        </row>
        <row r="14">
          <cell r="A14" t="str">
            <v>Intereses forta 2008</v>
          </cell>
          <cell r="B14">
            <v>10006.65</v>
          </cell>
          <cell r="C14">
            <v>2839</v>
          </cell>
          <cell r="D14">
            <v>0</v>
          </cell>
          <cell r="E14">
            <v>2839</v>
          </cell>
          <cell r="F14">
            <v>848993.53</v>
          </cell>
          <cell r="G14">
            <v>10569.67</v>
          </cell>
          <cell r="H14">
            <v>29400</v>
          </cell>
          <cell r="I14">
            <v>-18830.330000000002</v>
          </cell>
        </row>
        <row r="16">
          <cell r="A16" t="str">
            <v>Intereses forta 2009</v>
          </cell>
          <cell r="B16">
            <v>56481.66</v>
          </cell>
          <cell r="C16">
            <v>3406.22</v>
          </cell>
          <cell r="D16">
            <v>52000</v>
          </cell>
          <cell r="E16">
            <v>-48593.78</v>
          </cell>
          <cell r="F16">
            <v>343453.01</v>
          </cell>
          <cell r="G16">
            <v>108975.90000000002</v>
          </cell>
          <cell r="H16">
            <v>1283100</v>
          </cell>
          <cell r="I16">
            <v>-1174124.1000000001</v>
          </cell>
        </row>
        <row r="18">
          <cell r="A18" t="str">
            <v>Intereses forta 2010</v>
          </cell>
          <cell r="C18">
            <v>74989.88</v>
          </cell>
          <cell r="D18">
            <v>111650</v>
          </cell>
          <cell r="E18">
            <v>-36660.119999999995</v>
          </cell>
          <cell r="G18">
            <v>175576.97</v>
          </cell>
          <cell r="H18">
            <v>185500</v>
          </cell>
          <cell r="I18">
            <v>-9923.0299999999988</v>
          </cell>
        </row>
      </sheetData>
      <sheetData sheetId="11"/>
      <sheetData sheetId="12">
        <row r="10">
          <cell r="A10" t="str">
            <v>Progr. Rehabilitación y Mtto. de Escuelas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2350000</v>
          </cell>
          <cell r="H10">
            <v>0</v>
          </cell>
          <cell r="I10">
            <v>2350000</v>
          </cell>
        </row>
        <row r="12">
          <cell r="A12" t="str">
            <v>Crédito a la Palabra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A14" t="str">
            <v>Progr. Integr. Abatir Rez. Educ. (PIARE)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</row>
        <row r="16">
          <cell r="A16" t="str">
            <v>Progr. Abat. Rez. Educ. Inic. y Bás. (PAREIB)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A18" t="str">
            <v>Apoyo a la Vivienda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</row>
        <row r="20">
          <cell r="A20" t="str">
            <v>Gobierno del Estado (Programa Estatal de Inversión)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250000</v>
          </cell>
          <cell r="G20">
            <v>0</v>
          </cell>
          <cell r="H20">
            <v>0</v>
          </cell>
          <cell r="I20">
            <v>0</v>
          </cell>
        </row>
        <row r="22">
          <cell r="A22" t="str">
            <v>Otras Aportaciones Devolución FONDEN y Administración Directa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A24" t="str">
            <v>Programa Compensatorio UIE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A26" t="str">
            <v>Programa en Nuevo León Decidimos Todos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</row>
        <row r="28">
          <cell r="A28" t="str">
            <v xml:space="preserve">Fondo PYME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</row>
        <row r="30">
          <cell r="A30" t="str">
            <v>Programa de Obras por Conducto de Municipios</v>
          </cell>
          <cell r="B30">
            <v>6601945.96</v>
          </cell>
          <cell r="C30">
            <v>1875430.31</v>
          </cell>
          <cell r="D30">
            <v>3660000</v>
          </cell>
          <cell r="E30">
            <v>-1784569.69</v>
          </cell>
          <cell r="F30">
            <v>15548289.609999999</v>
          </cell>
          <cell r="G30">
            <v>3274857.8699999996</v>
          </cell>
          <cell r="H30">
            <v>12200000</v>
          </cell>
          <cell r="I30">
            <v>-8925142.1300000008</v>
          </cell>
        </row>
        <row r="32">
          <cell r="A32" t="str">
            <v>Centro de Desarrollo Infantil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23500000</v>
          </cell>
          <cell r="G32">
            <v>0</v>
          </cell>
          <cell r="H32">
            <v>0</v>
          </cell>
          <cell r="I32">
            <v>0</v>
          </cell>
        </row>
        <row r="34">
          <cell r="A34" t="str">
            <v>Fondo de Desarrollo Municipal</v>
          </cell>
          <cell r="B34">
            <v>5754942.21</v>
          </cell>
          <cell r="C34">
            <v>4064374.38</v>
          </cell>
          <cell r="D34">
            <v>0</v>
          </cell>
          <cell r="E34">
            <v>4064374.38</v>
          </cell>
          <cell r="F34">
            <v>21011455</v>
          </cell>
          <cell r="G34">
            <v>5370129.2599999998</v>
          </cell>
          <cell r="H34">
            <v>38403500</v>
          </cell>
          <cell r="I34">
            <v>-33033370.740000002</v>
          </cell>
        </row>
        <row r="36">
          <cell r="A36" t="str">
            <v>Fondo de Ultracrecimiento</v>
          </cell>
          <cell r="B36">
            <v>980727.16</v>
          </cell>
          <cell r="C36">
            <v>0</v>
          </cell>
          <cell r="D36">
            <v>0</v>
          </cell>
          <cell r="E36">
            <v>0</v>
          </cell>
          <cell r="F36">
            <v>12088011.77</v>
          </cell>
          <cell r="G36">
            <v>13259304.050000001</v>
          </cell>
          <cell r="H36">
            <v>0</v>
          </cell>
          <cell r="I36">
            <v>13259304.050000001</v>
          </cell>
        </row>
        <row r="38">
          <cell r="A38" t="str">
            <v>Subsemun</v>
          </cell>
          <cell r="B38">
            <v>2500000</v>
          </cell>
          <cell r="C38">
            <v>1000000</v>
          </cell>
          <cell r="D38">
            <v>0</v>
          </cell>
          <cell r="E38">
            <v>1000000</v>
          </cell>
          <cell r="F38">
            <v>8975036.8000000007</v>
          </cell>
          <cell r="G38">
            <v>10000000</v>
          </cell>
          <cell r="H38">
            <v>0</v>
          </cell>
          <cell r="I38">
            <v>10000000</v>
          </cell>
        </row>
        <row r="40">
          <cell r="A40" t="str">
            <v>Subsemun Aportación Municipal</v>
          </cell>
          <cell r="B40">
            <v>1666666.66</v>
          </cell>
          <cell r="C40">
            <v>575811</v>
          </cell>
          <cell r="D40">
            <v>0</v>
          </cell>
          <cell r="E40">
            <v>575811</v>
          </cell>
          <cell r="F40">
            <v>3333333.33</v>
          </cell>
          <cell r="G40">
            <v>3475811</v>
          </cell>
          <cell r="H40">
            <v>0</v>
          </cell>
          <cell r="I40">
            <v>3475811</v>
          </cell>
        </row>
        <row r="42">
          <cell r="A42" t="str">
            <v>Fondo Especial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0</v>
          </cell>
        </row>
        <row r="44">
          <cell r="A44" t="str">
            <v>Desarrollo Urbano de Nuevo León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G44">
            <v>0</v>
          </cell>
          <cell r="H44">
            <v>0</v>
          </cell>
          <cell r="I44">
            <v>0</v>
          </cell>
        </row>
        <row r="46">
          <cell r="A46" t="str">
            <v>Desarrollo Social</v>
          </cell>
          <cell r="B46">
            <v>752576.71</v>
          </cell>
          <cell r="C46">
            <v>4500993.62</v>
          </cell>
          <cell r="D46">
            <v>0</v>
          </cell>
          <cell r="E46">
            <v>4500993.62</v>
          </cell>
          <cell r="F46">
            <v>4106588.62</v>
          </cell>
          <cell r="G46">
            <v>5963843.6199999992</v>
          </cell>
          <cell r="H46">
            <v>0</v>
          </cell>
          <cell r="I46">
            <v>5963843.6199999992</v>
          </cell>
        </row>
        <row r="48">
          <cell r="A48" t="str">
            <v>Instituto Nacional de las Mujeres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A50" t="str">
            <v>CONADE</v>
          </cell>
          <cell r="B50">
            <v>5200000</v>
          </cell>
          <cell r="C50">
            <v>0</v>
          </cell>
          <cell r="D50">
            <v>0</v>
          </cell>
          <cell r="E50">
            <v>0</v>
          </cell>
          <cell r="F50">
            <v>9180611.8399999999</v>
          </cell>
          <cell r="G50">
            <v>0</v>
          </cell>
          <cell r="H50">
            <v>0</v>
          </cell>
          <cell r="I50">
            <v>0</v>
          </cell>
        </row>
        <row r="52">
          <cell r="A52" t="str">
            <v>Fondo Metropolitano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9500000</v>
          </cell>
          <cell r="G52">
            <v>0</v>
          </cell>
          <cell r="H52">
            <v>0</v>
          </cell>
          <cell r="I52">
            <v>0</v>
          </cell>
        </row>
        <row r="54">
          <cell r="A54" t="str">
            <v>Fondo Metropolitano 2009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30000000</v>
          </cell>
          <cell r="G54">
            <v>0</v>
          </cell>
          <cell r="H54">
            <v>0</v>
          </cell>
          <cell r="I54">
            <v>0</v>
          </cell>
        </row>
        <row r="56">
          <cell r="A56" t="str">
            <v>Programa Tu Casa 2007</v>
          </cell>
          <cell r="B56">
            <v>128520</v>
          </cell>
          <cell r="C56">
            <v>0</v>
          </cell>
          <cell r="D56">
            <v>0</v>
          </cell>
          <cell r="E56">
            <v>0</v>
          </cell>
          <cell r="F56">
            <v>2441880</v>
          </cell>
          <cell r="G56">
            <v>0</v>
          </cell>
          <cell r="H56">
            <v>0</v>
          </cell>
          <cell r="I56">
            <v>0</v>
          </cell>
        </row>
        <row r="58">
          <cell r="A58" t="str">
            <v>Programa Habitat</v>
          </cell>
          <cell r="C58">
            <v>839190.5</v>
          </cell>
          <cell r="D58">
            <v>0</v>
          </cell>
          <cell r="E58">
            <v>839190.5</v>
          </cell>
          <cell r="G58">
            <v>1513916.5</v>
          </cell>
          <cell r="H58">
            <v>0</v>
          </cell>
          <cell r="I58">
            <v>1513916.5</v>
          </cell>
        </row>
        <row r="60">
          <cell r="A60" t="str">
            <v>Programa Empleo Temporal</v>
          </cell>
          <cell r="C60">
            <v>756164.97</v>
          </cell>
          <cell r="D60">
            <v>0</v>
          </cell>
          <cell r="E60">
            <v>756164.97</v>
          </cell>
          <cell r="G60">
            <v>1226882.8900000001</v>
          </cell>
          <cell r="H60">
            <v>0</v>
          </cell>
          <cell r="I60">
            <v>1226882.8900000001</v>
          </cell>
        </row>
        <row r="62">
          <cell r="A62" t="str">
            <v>Inst. Nac de las Mujeres</v>
          </cell>
          <cell r="C62">
            <v>0</v>
          </cell>
          <cell r="D62">
            <v>0</v>
          </cell>
          <cell r="E62">
            <v>0</v>
          </cell>
          <cell r="G62">
            <v>150000</v>
          </cell>
          <cell r="H62">
            <v>0</v>
          </cell>
          <cell r="I62">
            <v>150000</v>
          </cell>
        </row>
        <row r="64">
          <cell r="A64" t="str">
            <v>Programa Apazu</v>
          </cell>
          <cell r="C64">
            <v>10000000</v>
          </cell>
          <cell r="D64">
            <v>0</v>
          </cell>
          <cell r="E64">
            <v>10000000</v>
          </cell>
          <cell r="G64">
            <v>10000000</v>
          </cell>
          <cell r="H64">
            <v>0</v>
          </cell>
          <cell r="I64">
            <v>10000000</v>
          </cell>
        </row>
        <row r="66">
          <cell r="A66" t="str">
            <v>FOPAM</v>
          </cell>
          <cell r="C66">
            <v>8360000</v>
          </cell>
          <cell r="D66">
            <v>0</v>
          </cell>
          <cell r="E66">
            <v>8360000</v>
          </cell>
          <cell r="G66">
            <v>8360000</v>
          </cell>
          <cell r="H66">
            <v>0</v>
          </cell>
          <cell r="I66">
            <v>8360000</v>
          </cell>
        </row>
      </sheetData>
      <sheetData sheetId="13"/>
      <sheetData sheetId="14">
        <row r="10">
          <cell r="A10" t="str">
            <v>Bancos</v>
          </cell>
          <cell r="B10">
            <v>20000000</v>
          </cell>
          <cell r="C10">
            <v>125000000</v>
          </cell>
          <cell r="D10">
            <v>0</v>
          </cell>
          <cell r="E10">
            <v>125000000</v>
          </cell>
          <cell r="F10">
            <v>35000000</v>
          </cell>
          <cell r="G10">
            <v>161000000</v>
          </cell>
          <cell r="H10">
            <v>75283323.799999997</v>
          </cell>
        </row>
        <row r="12">
          <cell r="A12" t="str">
            <v>Banobras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4">
          <cell r="A14" t="str">
            <v>Arrendamiento Financiero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6">
          <cell r="A16" t="str">
            <v>Préstamos de Gobierno</v>
          </cell>
          <cell r="B16">
            <v>20000000</v>
          </cell>
          <cell r="C16">
            <v>25000000</v>
          </cell>
          <cell r="D16">
            <v>0</v>
          </cell>
          <cell r="E16">
            <v>25000000</v>
          </cell>
          <cell r="F16">
            <v>20000000</v>
          </cell>
          <cell r="G16">
            <v>27608463.199999999</v>
          </cell>
          <cell r="H16">
            <v>0</v>
          </cell>
        </row>
        <row r="18">
          <cell r="A18" t="str">
            <v>Financiamiento Obra Publica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5"/>
      <sheetData sheetId="16"/>
      <sheetData sheetId="17"/>
      <sheetData sheetId="18">
        <row r="9">
          <cell r="A9" t="str">
            <v>ADMINISTRACION PUBLICA</v>
          </cell>
          <cell r="B9">
            <v>90252938.260000005</v>
          </cell>
          <cell r="C9">
            <v>111179089.16</v>
          </cell>
          <cell r="D9">
            <v>119811920.63999999</v>
          </cell>
          <cell r="E9">
            <v>8632831.4799999893</v>
          </cell>
          <cell r="F9">
            <v>296202407.51999998</v>
          </cell>
          <cell r="G9">
            <v>323348345.12999994</v>
          </cell>
          <cell r="H9">
            <v>323061573.63999999</v>
          </cell>
        </row>
        <row r="11">
          <cell r="A11" t="str">
            <v>SERVICIOS COMUNITARIOS</v>
          </cell>
          <cell r="B11">
            <v>18469543.890000001</v>
          </cell>
          <cell r="C11">
            <v>25301029.460000001</v>
          </cell>
          <cell r="D11">
            <v>35712916.57</v>
          </cell>
          <cell r="E11">
            <v>10411887.109999999</v>
          </cell>
          <cell r="F11">
            <v>58913099.080000006</v>
          </cell>
          <cell r="G11">
            <v>97502022.560000002</v>
          </cell>
          <cell r="H11">
            <v>97961274.569999993</v>
          </cell>
        </row>
        <row r="13">
          <cell r="A13" t="str">
            <v>DESARROLLO SOCIAL</v>
          </cell>
          <cell r="B13">
            <v>10028861.51</v>
          </cell>
          <cell r="C13">
            <v>8159822.6299999999</v>
          </cell>
          <cell r="D13">
            <v>6935566.9800000004</v>
          </cell>
          <cell r="E13">
            <v>-1224255.6499999999</v>
          </cell>
          <cell r="F13">
            <v>37230230.370000005</v>
          </cell>
          <cell r="G13">
            <v>34621900</v>
          </cell>
          <cell r="H13">
            <v>37664390.979999997</v>
          </cell>
        </row>
        <row r="15">
          <cell r="A15" t="str">
            <v>MTTO. Y CONSERVACION ACTIVOS</v>
          </cell>
          <cell r="B15">
            <v>12267232.25</v>
          </cell>
          <cell r="C15">
            <v>13217843.619999999</v>
          </cell>
          <cell r="D15">
            <v>12599748.300000001</v>
          </cell>
          <cell r="E15">
            <v>-618095.31999999844</v>
          </cell>
          <cell r="F15">
            <v>63355277.100000001</v>
          </cell>
          <cell r="G15">
            <v>63211969.190000005</v>
          </cell>
          <cell r="H15">
            <v>64368132.299999997</v>
          </cell>
        </row>
        <row r="17">
          <cell r="A17" t="str">
            <v>ADQUISICIONES</v>
          </cell>
          <cell r="B17">
            <v>590916.05000000005</v>
          </cell>
          <cell r="C17">
            <v>2036979.52</v>
          </cell>
          <cell r="D17">
            <v>-10365056.190000001</v>
          </cell>
          <cell r="E17">
            <v>-12402035.710000001</v>
          </cell>
          <cell r="F17">
            <v>4342977.34</v>
          </cell>
          <cell r="G17">
            <v>6209192.9699999997</v>
          </cell>
          <cell r="H17">
            <v>5295743.8099999987</v>
          </cell>
        </row>
        <row r="19">
          <cell r="A19" t="str">
            <v>DESARROLLO URBANO Y ECOLOGIA</v>
          </cell>
          <cell r="B19">
            <v>9962413.1400000006</v>
          </cell>
          <cell r="C19">
            <v>54054952.730000004</v>
          </cell>
          <cell r="D19">
            <v>96517334.670000017</v>
          </cell>
          <cell r="E19">
            <v>42462381.940000013</v>
          </cell>
          <cell r="F19">
            <v>55602442.980000004</v>
          </cell>
          <cell r="G19">
            <v>140882516.69</v>
          </cell>
          <cell r="H19">
            <v>155678545.38000003</v>
          </cell>
        </row>
        <row r="21">
          <cell r="A21" t="str">
            <v>F.I.S.M.</v>
          </cell>
          <cell r="B21">
            <v>5184917.4800000004</v>
          </cell>
          <cell r="C21">
            <v>10230540.9</v>
          </cell>
          <cell r="D21">
            <v>8835994.4400000013</v>
          </cell>
          <cell r="E21">
            <v>-1394546.46</v>
          </cell>
          <cell r="F21">
            <v>15046076.34</v>
          </cell>
          <cell r="G21">
            <v>20231916.600000001</v>
          </cell>
          <cell r="H21">
            <v>22607680.75</v>
          </cell>
        </row>
        <row r="23">
          <cell r="A23" t="str">
            <v>FORTAMUN</v>
          </cell>
          <cell r="B23">
            <v>45139657.029999994</v>
          </cell>
          <cell r="C23">
            <v>36793871</v>
          </cell>
          <cell r="D23">
            <v>32705924.169999994</v>
          </cell>
          <cell r="E23">
            <v>-4087946.8300000057</v>
          </cell>
          <cell r="F23">
            <v>188649618.68000001</v>
          </cell>
          <cell r="G23">
            <v>168743740.13</v>
          </cell>
          <cell r="H23">
            <v>176363498.69</v>
          </cell>
        </row>
        <row r="25">
          <cell r="A25" t="str">
            <v>OBLIGACIONES FINANCIERAS</v>
          </cell>
          <cell r="B25">
            <v>15492364.85</v>
          </cell>
          <cell r="C25">
            <v>20896376.579999998</v>
          </cell>
          <cell r="D25">
            <v>1894885.28</v>
          </cell>
          <cell r="E25">
            <v>-19001491.299999997</v>
          </cell>
          <cell r="F25">
            <v>17849701.440000001</v>
          </cell>
          <cell r="G25">
            <v>23514383.620000001</v>
          </cell>
          <cell r="H25">
            <v>4126321.2800000003</v>
          </cell>
        </row>
        <row r="27">
          <cell r="A27" t="str">
            <v>OTROS (APLICACION DE OTRAS APORTACIONES)</v>
          </cell>
          <cell r="B27">
            <v>48107237.460000008</v>
          </cell>
          <cell r="C27">
            <v>58143763.619999997</v>
          </cell>
          <cell r="D27">
            <v>87046988.030000001</v>
          </cell>
          <cell r="E27">
            <v>28903224.410000004</v>
          </cell>
          <cell r="F27">
            <v>178859296.25999999</v>
          </cell>
          <cell r="G27">
            <v>141858578.69999996</v>
          </cell>
          <cell r="H27">
            <v>219595728.72000003</v>
          </cell>
        </row>
      </sheetData>
      <sheetData sheetId="19">
        <row r="10">
          <cell r="A10" t="str">
            <v>Administración de la Función Pública</v>
          </cell>
          <cell r="B10">
            <v>68950543</v>
          </cell>
          <cell r="C10">
            <v>77871493</v>
          </cell>
          <cell r="D10">
            <v>80565208.889999986</v>
          </cell>
          <cell r="E10">
            <v>2693715.8899999857</v>
          </cell>
          <cell r="F10">
            <v>214670797.62</v>
          </cell>
          <cell r="G10">
            <v>225771170.88999999</v>
          </cell>
          <cell r="H10">
            <v>227795515.88999999</v>
          </cell>
          <cell r="I10">
            <v>2024345</v>
          </cell>
        </row>
        <row r="12">
          <cell r="A12" t="str">
            <v>Gastos de la Función</v>
          </cell>
          <cell r="B12">
            <v>13288483.84</v>
          </cell>
          <cell r="C12">
            <v>24305758.629999999</v>
          </cell>
          <cell r="D12">
            <v>30579162.750000007</v>
          </cell>
          <cell r="E12">
            <v>6273404.1200000085</v>
          </cell>
          <cell r="F12">
            <v>45808463.769999996</v>
          </cell>
          <cell r="G12">
            <v>60883479.719999991</v>
          </cell>
          <cell r="H12">
            <v>59079134.750000007</v>
          </cell>
          <cell r="I12">
            <v>-1804344.9699999839</v>
          </cell>
        </row>
        <row r="14">
          <cell r="A14" t="str">
            <v>Gastos Administrativos</v>
          </cell>
          <cell r="B14">
            <v>8013911.4199999999</v>
          </cell>
          <cell r="C14">
            <v>9001837.5299999993</v>
          </cell>
          <cell r="D14">
            <v>8667549</v>
          </cell>
          <cell r="E14">
            <v>-334288.52999999933</v>
          </cell>
          <cell r="F14">
            <v>35723146.129999995</v>
          </cell>
          <cell r="G14">
            <v>36693694.520000003</v>
          </cell>
          <cell r="H14">
            <v>36186923</v>
          </cell>
          <cell r="I14">
            <v>-506771.52000000328</v>
          </cell>
        </row>
      </sheetData>
      <sheetData sheetId="20">
        <row r="10">
          <cell r="A10" t="str">
            <v>Alumbrado Público</v>
          </cell>
          <cell r="B10">
            <v>15418516.010000002</v>
          </cell>
          <cell r="C10">
            <v>16661035.369999999</v>
          </cell>
          <cell r="D10">
            <v>18710138.689999998</v>
          </cell>
          <cell r="E10">
            <v>2049103.3199999984</v>
          </cell>
          <cell r="F10">
            <v>45288055.150000006</v>
          </cell>
          <cell r="G10">
            <v>66481296.369999997</v>
          </cell>
          <cell r="H10">
            <v>66467993.689999998</v>
          </cell>
        </row>
        <row r="12">
          <cell r="A12" t="str">
            <v>Limpia Municipal</v>
          </cell>
          <cell r="B12">
            <v>2270108.1800000002</v>
          </cell>
          <cell r="C12">
            <v>7546900.5800000001</v>
          </cell>
          <cell r="D12">
            <v>16015321.380000003</v>
          </cell>
          <cell r="E12">
            <v>8468420.8000000026</v>
          </cell>
          <cell r="F12">
            <v>10400362.9</v>
          </cell>
          <cell r="G12">
            <v>26900862.649999999</v>
          </cell>
          <cell r="H12">
            <v>27302821.380000003</v>
          </cell>
        </row>
        <row r="14">
          <cell r="A14" t="str">
            <v>Mantenimiento de Vías Públicas</v>
          </cell>
          <cell r="B14">
            <v>0</v>
          </cell>
          <cell r="C14">
            <v>67860</v>
          </cell>
          <cell r="D14">
            <v>304616</v>
          </cell>
          <cell r="E14">
            <v>236756</v>
          </cell>
          <cell r="F14">
            <v>0</v>
          </cell>
          <cell r="G14">
            <v>266916</v>
          </cell>
          <cell r="H14">
            <v>304616</v>
          </cell>
        </row>
        <row r="16">
          <cell r="A16" t="str">
            <v>Parques, Jardines y Plazas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8">
          <cell r="A18" t="str">
            <v>Panteones Municipales</v>
          </cell>
          <cell r="B18">
            <v>0</v>
          </cell>
          <cell r="C18">
            <v>0</v>
          </cell>
          <cell r="D18">
            <v>-10000</v>
          </cell>
          <cell r="E18">
            <v>-10000</v>
          </cell>
          <cell r="F18">
            <v>0</v>
          </cell>
          <cell r="G18">
            <v>0</v>
          </cell>
          <cell r="H18">
            <v>0</v>
          </cell>
        </row>
        <row r="20">
          <cell r="A20" t="str">
            <v>Otros</v>
          </cell>
          <cell r="B20">
            <v>780919.7</v>
          </cell>
          <cell r="C20">
            <v>1025233.51</v>
          </cell>
          <cell r="D20">
            <v>692840.5</v>
          </cell>
          <cell r="E20">
            <v>-332393.01</v>
          </cell>
          <cell r="F20">
            <v>3224681.03</v>
          </cell>
          <cell r="G20">
            <v>3852947.54</v>
          </cell>
          <cell r="H20">
            <v>3885843.5</v>
          </cell>
        </row>
      </sheetData>
      <sheetData sheetId="21">
        <row r="10">
          <cell r="A10" t="str">
            <v>Educación</v>
          </cell>
          <cell r="B10">
            <v>1379503.99</v>
          </cell>
          <cell r="C10">
            <v>661157.49</v>
          </cell>
          <cell r="D10">
            <v>1260385.620000001</v>
          </cell>
          <cell r="E10">
            <v>599228.13000000105</v>
          </cell>
          <cell r="F10">
            <v>8568877.8499999996</v>
          </cell>
          <cell r="G10">
            <v>9362664.5199999996</v>
          </cell>
          <cell r="H10">
            <v>9852885.620000001</v>
          </cell>
          <cell r="I10">
            <v>490221.10000000149</v>
          </cell>
        </row>
        <row r="12">
          <cell r="A12" t="str">
            <v>Cultura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A14" t="str">
            <v>Asistencia Social</v>
          </cell>
          <cell r="B14">
            <v>2840739.18</v>
          </cell>
          <cell r="C14">
            <v>2645761.7999999998</v>
          </cell>
          <cell r="D14">
            <v>1149270.8699999992</v>
          </cell>
          <cell r="E14">
            <v>-1496490.9300000006</v>
          </cell>
          <cell r="F14">
            <v>7338289.0000000019</v>
          </cell>
          <cell r="G14">
            <v>5858332.7400000002</v>
          </cell>
          <cell r="H14">
            <v>6845395.8699999992</v>
          </cell>
          <cell r="I14">
            <v>987063.12999999896</v>
          </cell>
        </row>
        <row r="16">
          <cell r="A16" t="str">
            <v>Fomento al Deporte</v>
          </cell>
          <cell r="B16">
            <v>631434.44999999995</v>
          </cell>
          <cell r="C16">
            <v>421216.65</v>
          </cell>
          <cell r="D16">
            <v>-748435.26</v>
          </cell>
          <cell r="E16">
            <v>-1169651.9100000001</v>
          </cell>
          <cell r="F16">
            <v>2732645.71</v>
          </cell>
          <cell r="G16">
            <v>1369682.7400000002</v>
          </cell>
          <cell r="H16">
            <v>1501564.74</v>
          </cell>
          <cell r="I16">
            <v>131881.99999999977</v>
          </cell>
        </row>
        <row r="18">
          <cell r="A18" t="str">
            <v>Aportaciones a Centros Asistenciales</v>
          </cell>
          <cell r="B18">
            <v>3877060.3</v>
          </cell>
          <cell r="C18">
            <v>2333384.75</v>
          </cell>
          <cell r="D18">
            <v>2556794.94</v>
          </cell>
          <cell r="E18">
            <v>223410.18999999994</v>
          </cell>
          <cell r="F18">
            <v>14817849.859999999</v>
          </cell>
          <cell r="G18">
            <v>12224766.070000002</v>
          </cell>
          <cell r="H18">
            <v>13962544.939999999</v>
          </cell>
          <cell r="I18">
            <v>1737778.8699999973</v>
          </cell>
        </row>
        <row r="20">
          <cell r="A20" t="str">
            <v>Otros</v>
          </cell>
          <cell r="B20">
            <v>974320.3</v>
          </cell>
          <cell r="C20">
            <v>777270.53</v>
          </cell>
          <cell r="D20">
            <v>597560.89</v>
          </cell>
          <cell r="E20">
            <v>-179709.64</v>
          </cell>
          <cell r="F20">
            <v>2435506.33</v>
          </cell>
          <cell r="G20">
            <v>2324288.3899999997</v>
          </cell>
          <cell r="H20">
            <v>2487560.89</v>
          </cell>
          <cell r="I20">
            <v>163272.50000000047</v>
          </cell>
        </row>
        <row r="22">
          <cell r="A22" t="str">
            <v>Instituto de la Mujer</v>
          </cell>
          <cell r="B22">
            <v>325803.28999999998</v>
          </cell>
          <cell r="C22">
            <v>1321031.4099999999</v>
          </cell>
          <cell r="D22">
            <v>2119989.92</v>
          </cell>
          <cell r="E22">
            <v>798958.51</v>
          </cell>
          <cell r="F22">
            <v>1337061.6200000001</v>
          </cell>
          <cell r="G22">
            <v>3482165.54</v>
          </cell>
          <cell r="H22">
            <v>3014438.92</v>
          </cell>
          <cell r="I22">
            <v>-467726.62000000011</v>
          </cell>
        </row>
      </sheetData>
      <sheetData sheetId="22">
        <row r="10">
          <cell r="A10" t="str">
            <v>Consumo de Combustible</v>
          </cell>
          <cell r="B10">
            <v>8112323.9699999997</v>
          </cell>
          <cell r="C10">
            <v>9937259.0199999996</v>
          </cell>
          <cell r="D10">
            <v>9842368.0899999999</v>
          </cell>
          <cell r="E10">
            <v>-94890.929999999702</v>
          </cell>
          <cell r="F10">
            <v>42849253.420000002</v>
          </cell>
          <cell r="G10">
            <v>42032161.359999999</v>
          </cell>
          <cell r="H10">
            <v>42692368.090000004</v>
          </cell>
        </row>
        <row r="12">
          <cell r="A12" t="str">
            <v>Equipo de Transporte</v>
          </cell>
          <cell r="B12">
            <v>2641767.46</v>
          </cell>
          <cell r="C12">
            <v>1883024.87</v>
          </cell>
          <cell r="D12">
            <v>531909.25999999978</v>
          </cell>
          <cell r="E12">
            <v>-1351115.6100000003</v>
          </cell>
          <cell r="F12">
            <v>15269405.009999998</v>
          </cell>
          <cell r="G12">
            <v>13684919.320000002</v>
          </cell>
          <cell r="H12">
            <v>14184709.26</v>
          </cell>
        </row>
        <row r="14">
          <cell r="A14" t="str">
            <v>Equipo de Cómputo</v>
          </cell>
          <cell r="B14">
            <v>31819.57</v>
          </cell>
          <cell r="C14">
            <v>33564.259999999995</v>
          </cell>
          <cell r="D14">
            <v>55174.33</v>
          </cell>
          <cell r="E14">
            <v>21610.070000000007</v>
          </cell>
          <cell r="F14">
            <v>111212.07</v>
          </cell>
          <cell r="G14">
            <v>149215.93</v>
          </cell>
          <cell r="H14">
            <v>154174.33000000002</v>
          </cell>
        </row>
        <row r="16">
          <cell r="A16" t="str">
            <v>Edificios Públicos</v>
          </cell>
          <cell r="B16">
            <v>1218586.24</v>
          </cell>
          <cell r="C16">
            <v>800291.99</v>
          </cell>
          <cell r="D16">
            <v>393833.11</v>
          </cell>
          <cell r="E16">
            <v>-406458.88</v>
          </cell>
          <cell r="F16">
            <v>3440509.81</v>
          </cell>
          <cell r="G16">
            <v>3307089.31</v>
          </cell>
          <cell r="H16">
            <v>3348132.11</v>
          </cell>
        </row>
        <row r="18">
          <cell r="A18" t="str">
            <v>Equipo de Oficina</v>
          </cell>
          <cell r="B18">
            <v>29100.81</v>
          </cell>
          <cell r="C18">
            <v>90003.94</v>
          </cell>
          <cell r="D18">
            <v>50792.890000000014</v>
          </cell>
          <cell r="E18">
            <v>-39211.049999999988</v>
          </cell>
          <cell r="F18">
            <v>177531.36</v>
          </cell>
          <cell r="G18">
            <v>310004.27</v>
          </cell>
          <cell r="H18">
            <v>279792.89</v>
          </cell>
        </row>
        <row r="20">
          <cell r="A20" t="str">
            <v>Equipo Pesado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2">
          <cell r="A22" t="str">
            <v>Otros</v>
          </cell>
          <cell r="B22">
            <v>233634.2</v>
          </cell>
          <cell r="C22">
            <v>473699.54</v>
          </cell>
          <cell r="D22">
            <v>1725670.62</v>
          </cell>
          <cell r="E22">
            <v>1251971.08</v>
          </cell>
          <cell r="F22">
            <v>1507365.43</v>
          </cell>
          <cell r="G22">
            <v>3728579.0000000005</v>
          </cell>
          <cell r="H22">
            <v>3708955.62</v>
          </cell>
        </row>
      </sheetData>
      <sheetData sheetId="23">
        <row r="10">
          <cell r="A10" t="str">
            <v>Bienes Muebles</v>
          </cell>
          <cell r="B10">
            <v>590916.05000000005</v>
          </cell>
          <cell r="C10">
            <v>1535451.52</v>
          </cell>
          <cell r="D10">
            <v>-10365056.190000001</v>
          </cell>
          <cell r="E10">
            <v>-11900507.710000001</v>
          </cell>
          <cell r="F10">
            <v>4342977.34</v>
          </cell>
          <cell r="G10">
            <v>5707664.9699999997</v>
          </cell>
          <cell r="H10">
            <v>5295743.8099999987</v>
          </cell>
        </row>
        <row r="12">
          <cell r="A12" t="str">
            <v>Bienes Inmuebles</v>
          </cell>
          <cell r="B12">
            <v>0</v>
          </cell>
          <cell r="C12">
            <v>501528</v>
          </cell>
          <cell r="D12">
            <v>0</v>
          </cell>
          <cell r="E12">
            <v>-501528</v>
          </cell>
          <cell r="F12">
            <v>0</v>
          </cell>
          <cell r="G12">
            <v>501528</v>
          </cell>
          <cell r="H12">
            <v>0</v>
          </cell>
        </row>
      </sheetData>
      <sheetData sheetId="24">
        <row r="10">
          <cell r="A10" t="str">
            <v>Obras Públicas Directas</v>
          </cell>
          <cell r="B10">
            <v>8095121.6500000004</v>
          </cell>
          <cell r="C10">
            <v>10182221.810000001</v>
          </cell>
          <cell r="D10">
            <v>-2090190.7299999967</v>
          </cell>
          <cell r="E10">
            <v>-12272412.539999997</v>
          </cell>
          <cell r="F10">
            <v>44280337.990000002</v>
          </cell>
          <cell r="G10">
            <v>45050064.210000008</v>
          </cell>
          <cell r="H10">
            <v>45874059.270000003</v>
          </cell>
        </row>
        <row r="12">
          <cell r="A12" t="str">
            <v>Obras Públicas por Contrato</v>
          </cell>
          <cell r="B12">
            <v>1867291.49</v>
          </cell>
          <cell r="C12">
            <v>43872730.920000002</v>
          </cell>
          <cell r="D12">
            <v>98607525.400000006</v>
          </cell>
          <cell r="E12">
            <v>54734794.480000004</v>
          </cell>
          <cell r="F12">
            <v>11322104.99</v>
          </cell>
          <cell r="G12">
            <v>95832452.480000004</v>
          </cell>
          <cell r="H12">
            <v>109804486.11000001</v>
          </cell>
        </row>
        <row r="14">
          <cell r="A14" t="str">
            <v>Obras por Coparticipación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6">
          <cell r="A16" t="str">
            <v>Ecología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</sheetData>
      <sheetData sheetId="25">
        <row r="10">
          <cell r="A10" t="str">
            <v>Estímulos a la Educación Básica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G10">
            <v>0</v>
          </cell>
          <cell r="H10">
            <v>0</v>
          </cell>
          <cell r="I10">
            <v>0</v>
          </cell>
        </row>
        <row r="12">
          <cell r="A12" t="str">
            <v>Asistencia Social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A14" t="str">
            <v>Gastos Financieros 2007</v>
          </cell>
          <cell r="B14">
            <v>11.5</v>
          </cell>
          <cell r="C14">
            <v>11.6</v>
          </cell>
          <cell r="D14">
            <v>34.799999999999997</v>
          </cell>
          <cell r="E14">
            <v>23.199999999999996</v>
          </cell>
          <cell r="F14">
            <v>11.5</v>
          </cell>
          <cell r="G14">
            <v>46.4</v>
          </cell>
          <cell r="H14">
            <v>34.799999999999997</v>
          </cell>
          <cell r="I14">
            <v>-11.600000000000001</v>
          </cell>
        </row>
        <row r="16">
          <cell r="A16" t="str">
            <v>Gastos Financieros 2008</v>
          </cell>
          <cell r="B16">
            <v>5.75</v>
          </cell>
          <cell r="C16">
            <v>0</v>
          </cell>
          <cell r="D16">
            <v>0</v>
          </cell>
          <cell r="E16">
            <v>0</v>
          </cell>
          <cell r="F16">
            <v>40.25</v>
          </cell>
          <cell r="G16">
            <v>0</v>
          </cell>
          <cell r="H16">
            <v>0</v>
          </cell>
          <cell r="I16">
            <v>0</v>
          </cell>
        </row>
        <row r="18">
          <cell r="A18" t="str">
            <v>Gastos Financieros 2009</v>
          </cell>
          <cell r="B18">
            <v>34.5</v>
          </cell>
          <cell r="C18">
            <v>0</v>
          </cell>
          <cell r="D18">
            <v>0</v>
          </cell>
          <cell r="E18">
            <v>0</v>
          </cell>
          <cell r="F18">
            <v>74.75</v>
          </cell>
          <cell r="G18">
            <v>0</v>
          </cell>
          <cell r="H18">
            <v>0</v>
          </cell>
          <cell r="I18">
            <v>0</v>
          </cell>
        </row>
        <row r="20">
          <cell r="A20" t="str">
            <v>Gastos Financieros 2010</v>
          </cell>
          <cell r="B20">
            <v>0</v>
          </cell>
          <cell r="C20">
            <v>0</v>
          </cell>
          <cell r="D20">
            <v>-801</v>
          </cell>
          <cell r="E20">
            <v>-801</v>
          </cell>
          <cell r="G20">
            <v>-1</v>
          </cell>
          <cell r="H20">
            <v>49</v>
          </cell>
          <cell r="I20">
            <v>50</v>
          </cell>
        </row>
        <row r="22">
          <cell r="A22" t="str">
            <v>Obras 2006</v>
          </cell>
          <cell r="B22">
            <v>0</v>
          </cell>
          <cell r="C22">
            <v>4440102.6100000003</v>
          </cell>
          <cell r="D22">
            <v>6519702.0300000003</v>
          </cell>
          <cell r="E22">
            <v>2079599.42</v>
          </cell>
          <cell r="F22">
            <v>1294574.24</v>
          </cell>
          <cell r="G22">
            <v>6396013.2100000009</v>
          </cell>
          <cell r="H22">
            <v>6519702.0300000003</v>
          </cell>
          <cell r="I22">
            <v>123688.81999999937</v>
          </cell>
        </row>
        <row r="24">
          <cell r="A24" t="str">
            <v>Obras 2007</v>
          </cell>
          <cell r="B24">
            <v>310081.67</v>
          </cell>
          <cell r="C24">
            <v>0</v>
          </cell>
          <cell r="D24">
            <v>0</v>
          </cell>
          <cell r="E24">
            <v>0</v>
          </cell>
          <cell r="F24">
            <v>310081.67</v>
          </cell>
          <cell r="G24">
            <v>0</v>
          </cell>
          <cell r="H24">
            <v>0</v>
          </cell>
          <cell r="I24">
            <v>0</v>
          </cell>
        </row>
        <row r="26">
          <cell r="A26" t="str">
            <v>Obras 2008</v>
          </cell>
          <cell r="B26">
            <v>530208.56000000006</v>
          </cell>
          <cell r="C26">
            <v>0</v>
          </cell>
          <cell r="D26">
            <v>0</v>
          </cell>
          <cell r="E26">
            <v>0</v>
          </cell>
          <cell r="F26">
            <v>2917595.34</v>
          </cell>
          <cell r="G26">
            <v>0</v>
          </cell>
          <cell r="H26">
            <v>0</v>
          </cell>
          <cell r="I26">
            <v>0</v>
          </cell>
        </row>
        <row r="28">
          <cell r="A28" t="str">
            <v>Obras 2009</v>
          </cell>
          <cell r="B28">
            <v>4344575.5</v>
          </cell>
          <cell r="C28">
            <v>1129136.8600000001</v>
          </cell>
          <cell r="D28">
            <v>-251397.7</v>
          </cell>
          <cell r="E28">
            <v>-1380534.56</v>
          </cell>
          <cell r="F28">
            <v>10523698.59</v>
          </cell>
          <cell r="G28">
            <v>1129136.8600000001</v>
          </cell>
          <cell r="H28">
            <v>2702668.61</v>
          </cell>
          <cell r="I28">
            <v>1573531.7499999998</v>
          </cell>
        </row>
        <row r="30">
          <cell r="A30" t="str">
            <v>Obras 2010</v>
          </cell>
          <cell r="B30">
            <v>0</v>
          </cell>
          <cell r="C30">
            <v>4661289.83</v>
          </cell>
          <cell r="D30">
            <v>2568456.3100000005</v>
          </cell>
          <cell r="E30">
            <v>-2092833.5199999996</v>
          </cell>
          <cell r="G30">
            <v>12706721.130000001</v>
          </cell>
          <cell r="H30">
            <v>13385226.310000001</v>
          </cell>
          <cell r="I30">
            <v>678505.1799999997</v>
          </cell>
        </row>
      </sheetData>
      <sheetData sheetId="26">
        <row r="10">
          <cell r="A10" t="str">
            <v>Sueldos</v>
          </cell>
          <cell r="B10">
            <v>28431750</v>
          </cell>
          <cell r="C10">
            <v>28131949.329999998</v>
          </cell>
          <cell r="D10">
            <v>30483627.219999999</v>
          </cell>
          <cell r="E10">
            <v>2351677.8900000006</v>
          </cell>
          <cell r="F10">
            <v>80736995</v>
          </cell>
          <cell r="G10">
            <v>83663499.609999999</v>
          </cell>
          <cell r="H10">
            <v>86441627.219999999</v>
          </cell>
          <cell r="I10">
            <v>2778127.6099999994</v>
          </cell>
        </row>
        <row r="12">
          <cell r="A12" t="str">
            <v>Sueldos (Recursos Propios)</v>
          </cell>
          <cell r="B12">
            <v>0</v>
          </cell>
          <cell r="C12">
            <v>8436</v>
          </cell>
          <cell r="D12">
            <v>17026</v>
          </cell>
          <cell r="E12">
            <v>8590</v>
          </cell>
          <cell r="F12">
            <v>84979</v>
          </cell>
          <cell r="G12">
            <v>25462</v>
          </cell>
          <cell r="H12">
            <v>17026</v>
          </cell>
          <cell r="I12">
            <v>-8436</v>
          </cell>
        </row>
        <row r="14">
          <cell r="A14" t="str">
            <v>Uniformes y Gastos de Función 2008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246006.85</v>
          </cell>
          <cell r="G14">
            <v>0</v>
          </cell>
          <cell r="H14">
            <v>0</v>
          </cell>
          <cell r="I14">
            <v>0</v>
          </cell>
        </row>
        <row r="16">
          <cell r="A16" t="str">
            <v>Uniformes y Gastos de Función 2009</v>
          </cell>
          <cell r="B16">
            <v>106835</v>
          </cell>
          <cell r="C16">
            <v>1166960</v>
          </cell>
          <cell r="D16">
            <v>1274804.1499999999</v>
          </cell>
          <cell r="E16">
            <v>107844.14999999991</v>
          </cell>
          <cell r="F16">
            <v>801996.79</v>
          </cell>
          <cell r="G16">
            <v>1274804.1499999999</v>
          </cell>
          <cell r="H16">
            <v>1274804.1499999999</v>
          </cell>
          <cell r="I16">
            <v>0</v>
          </cell>
        </row>
        <row r="18">
          <cell r="A18" t="str">
            <v>Uniformes y Gastos de Función 2010</v>
          </cell>
          <cell r="C18">
            <v>592636.6</v>
          </cell>
          <cell r="D18">
            <v>1191978.56</v>
          </cell>
          <cell r="E18">
            <v>599341.96000000008</v>
          </cell>
          <cell r="G18">
            <v>2411010.56</v>
          </cell>
          <cell r="H18">
            <v>3643978.56</v>
          </cell>
          <cell r="I18">
            <v>1232968</v>
          </cell>
        </row>
        <row r="20">
          <cell r="A20" t="str">
            <v>Bomberos 2008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A22" t="str">
            <v>Bomberos 2009</v>
          </cell>
          <cell r="B22">
            <v>360000</v>
          </cell>
          <cell r="C22">
            <v>0</v>
          </cell>
          <cell r="D22">
            <v>0</v>
          </cell>
          <cell r="E22">
            <v>0</v>
          </cell>
          <cell r="F22">
            <v>1440000</v>
          </cell>
          <cell r="G22">
            <v>0</v>
          </cell>
          <cell r="H22">
            <v>0</v>
          </cell>
          <cell r="I22">
            <v>0</v>
          </cell>
        </row>
        <row r="24">
          <cell r="A24" t="str">
            <v>Bomberos 2010</v>
          </cell>
          <cell r="C24">
            <v>360000</v>
          </cell>
          <cell r="D24">
            <v>360000</v>
          </cell>
          <cell r="E24">
            <v>0</v>
          </cell>
          <cell r="G24">
            <v>1440000</v>
          </cell>
          <cell r="H24">
            <v>1440000</v>
          </cell>
          <cell r="I24">
            <v>0</v>
          </cell>
        </row>
        <row r="26">
          <cell r="A26" t="str">
            <v>Mantenimiento de Vehículos 2008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8">
          <cell r="A28" t="str">
            <v>Mantenimiento de Vehículos 2009</v>
          </cell>
          <cell r="B28">
            <v>478484.68</v>
          </cell>
          <cell r="C28">
            <v>0</v>
          </cell>
          <cell r="D28">
            <v>0</v>
          </cell>
          <cell r="E28">
            <v>0</v>
          </cell>
          <cell r="F28">
            <v>3639237.22</v>
          </cell>
          <cell r="G28">
            <v>0</v>
          </cell>
          <cell r="H28">
            <v>0</v>
          </cell>
          <cell r="I28">
            <v>0</v>
          </cell>
        </row>
        <row r="30">
          <cell r="A30" t="str">
            <v>Mantenimiento de Vehículos 2010</v>
          </cell>
          <cell r="C30">
            <v>677591.94000000006</v>
          </cell>
          <cell r="D30">
            <v>-111612.62</v>
          </cell>
          <cell r="E30">
            <v>-789204.56</v>
          </cell>
          <cell r="G30">
            <v>4600561.4200000009</v>
          </cell>
          <cell r="H30">
            <v>4868387.38</v>
          </cell>
          <cell r="I30">
            <v>267825.95999999903</v>
          </cell>
        </row>
        <row r="32">
          <cell r="A32" t="str">
            <v>Obras 2008</v>
          </cell>
          <cell r="B32">
            <v>3605916.06</v>
          </cell>
          <cell r="C32">
            <v>0</v>
          </cell>
          <cell r="D32">
            <v>-168886.73</v>
          </cell>
          <cell r="E32">
            <v>-168886.73</v>
          </cell>
          <cell r="F32">
            <v>29738942.259999998</v>
          </cell>
          <cell r="G32">
            <v>31965.42</v>
          </cell>
          <cell r="H32">
            <v>3707988.4</v>
          </cell>
          <cell r="I32">
            <v>3676022.98</v>
          </cell>
        </row>
        <row r="34">
          <cell r="A34" t="str">
            <v>Obras 2009</v>
          </cell>
          <cell r="B34">
            <v>10098255.17</v>
          </cell>
          <cell r="C34">
            <v>0</v>
          </cell>
          <cell r="D34">
            <v>-35715.120000001043</v>
          </cell>
          <cell r="E34">
            <v>-35715.120000001043</v>
          </cell>
          <cell r="F34">
            <v>33878046.899999999</v>
          </cell>
          <cell r="G34">
            <v>8793151.6099999994</v>
          </cell>
          <cell r="H34">
            <v>8853659.2699999996</v>
          </cell>
          <cell r="I34">
            <v>60507.660000000149</v>
          </cell>
        </row>
        <row r="36">
          <cell r="A36" t="str">
            <v>Obras 2010</v>
          </cell>
          <cell r="C36">
            <v>144188.31</v>
          </cell>
          <cell r="D36">
            <v>4610507.0099999979</v>
          </cell>
          <cell r="E36">
            <v>4466318.6999999983</v>
          </cell>
          <cell r="G36">
            <v>21000352.509999998</v>
          </cell>
          <cell r="H36">
            <v>21081832.009999998</v>
          </cell>
          <cell r="I36">
            <v>81479.5</v>
          </cell>
        </row>
        <row r="38">
          <cell r="A38" t="str">
            <v>Adquisiciones 2008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40">
          <cell r="A40" t="str">
            <v>Adquisiciones 2009</v>
          </cell>
          <cell r="B40">
            <v>188090.21</v>
          </cell>
          <cell r="C40">
            <v>0</v>
          </cell>
          <cell r="D40">
            <v>0</v>
          </cell>
          <cell r="E40">
            <v>0</v>
          </cell>
          <cell r="F40">
            <v>559367.39</v>
          </cell>
          <cell r="G40">
            <v>0</v>
          </cell>
          <cell r="H40">
            <v>0</v>
          </cell>
          <cell r="I40">
            <v>0</v>
          </cell>
        </row>
        <row r="42">
          <cell r="A42" t="str">
            <v>Adquisiciones 2010</v>
          </cell>
          <cell r="C42">
            <v>651648.57000000007</v>
          </cell>
          <cell r="D42">
            <v>-1383716.9700000002</v>
          </cell>
          <cell r="E42">
            <v>-2035365.5400000003</v>
          </cell>
          <cell r="G42">
            <v>3566283.0300000007</v>
          </cell>
          <cell r="H42">
            <v>3566283.03</v>
          </cell>
          <cell r="I42">
            <v>-9.3132257461547852E-10</v>
          </cell>
        </row>
        <row r="44">
          <cell r="A44" t="str">
            <v>Gastos Financieros 2008</v>
          </cell>
          <cell r="B44">
            <v>11.5</v>
          </cell>
          <cell r="C44">
            <v>0</v>
          </cell>
          <cell r="D44">
            <v>11.6</v>
          </cell>
          <cell r="E44">
            <v>11.6</v>
          </cell>
          <cell r="F44">
            <v>138</v>
          </cell>
          <cell r="G44">
            <v>11.6</v>
          </cell>
          <cell r="H44">
            <v>11.6</v>
          </cell>
          <cell r="I44">
            <v>0</v>
          </cell>
        </row>
        <row r="46">
          <cell r="A46" t="str">
            <v>Gastos Financieros 2009</v>
          </cell>
          <cell r="B46">
            <v>442.75</v>
          </cell>
          <cell r="C46">
            <v>23.2</v>
          </cell>
          <cell r="D46">
            <v>145</v>
          </cell>
          <cell r="E46">
            <v>121.8</v>
          </cell>
          <cell r="F46">
            <v>1052.25</v>
          </cell>
          <cell r="G46">
            <v>145</v>
          </cell>
          <cell r="H46">
            <v>145</v>
          </cell>
          <cell r="I46">
            <v>0</v>
          </cell>
        </row>
        <row r="48">
          <cell r="A48" t="str">
            <v>Gastos Financieros 2010</v>
          </cell>
          <cell r="C48">
            <v>0</v>
          </cell>
          <cell r="D48">
            <v>114151</v>
          </cell>
          <cell r="E48">
            <v>114151</v>
          </cell>
          <cell r="G48">
            <v>114151</v>
          </cell>
          <cell r="H48">
            <v>114151</v>
          </cell>
          <cell r="I48">
            <v>0</v>
          </cell>
        </row>
        <row r="50">
          <cell r="A50" t="str">
            <v>Financiamiento Obra Publica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</row>
        <row r="52">
          <cell r="A52" t="str">
            <v>Estímulos a la Educación Básica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A54" t="str">
            <v>Pago de Financiamiento</v>
          </cell>
          <cell r="C54">
            <v>3152115</v>
          </cell>
          <cell r="D54">
            <v>-11558206</v>
          </cell>
          <cell r="E54">
            <v>-14710321</v>
          </cell>
          <cell r="F54">
            <v>20000000</v>
          </cell>
          <cell r="G54">
            <v>33441794</v>
          </cell>
          <cell r="H54">
            <v>33441794</v>
          </cell>
          <cell r="I54">
            <v>0</v>
          </cell>
        </row>
        <row r="56">
          <cell r="A56" t="str">
            <v>Financiamiento Adquisiciones</v>
          </cell>
          <cell r="C56">
            <v>0</v>
          </cell>
          <cell r="D56">
            <v>0</v>
          </cell>
          <cell r="E56">
            <v>0</v>
          </cell>
          <cell r="G56">
            <v>0</v>
          </cell>
          <cell r="H56">
            <v>0</v>
          </cell>
          <cell r="I56">
            <v>0</v>
          </cell>
        </row>
        <row r="58">
          <cell r="A58" t="str">
            <v xml:space="preserve">Aportación SUBSEMUN </v>
          </cell>
          <cell r="B58">
            <v>1666666.66</v>
          </cell>
          <cell r="C58">
            <v>568737</v>
          </cell>
          <cell r="D58">
            <v>3000000</v>
          </cell>
          <cell r="E58">
            <v>2431263</v>
          </cell>
          <cell r="F58">
            <v>3333333.33</v>
          </cell>
          <cell r="G58">
            <v>3468737</v>
          </cell>
          <cell r="H58">
            <v>3000000</v>
          </cell>
          <cell r="I58">
            <v>-468737</v>
          </cell>
        </row>
        <row r="60">
          <cell r="A60" t="str">
            <v>Mantenimiento Edificio de  Seg Publica</v>
          </cell>
          <cell r="B60">
            <v>203205</v>
          </cell>
          <cell r="C60">
            <v>0</v>
          </cell>
          <cell r="D60">
            <v>0</v>
          </cell>
          <cell r="E60">
            <v>0</v>
          </cell>
          <cell r="F60">
            <v>203205</v>
          </cell>
          <cell r="G60">
            <v>0</v>
          </cell>
          <cell r="H60">
            <v>0</v>
          </cell>
          <cell r="I60">
            <v>0</v>
          </cell>
        </row>
        <row r="62">
          <cell r="A62" t="str">
            <v>Electricidad 2007</v>
          </cell>
          <cell r="C62">
            <v>0</v>
          </cell>
          <cell r="D62">
            <v>0</v>
          </cell>
          <cell r="E62">
            <v>0</v>
          </cell>
          <cell r="F62">
            <v>486332.95</v>
          </cell>
          <cell r="G62">
            <v>0</v>
          </cell>
          <cell r="H62">
            <v>0</v>
          </cell>
          <cell r="I62">
            <v>0</v>
          </cell>
        </row>
        <row r="64">
          <cell r="A64" t="str">
            <v>Electricidad 2009</v>
          </cell>
          <cell r="C64">
            <v>0</v>
          </cell>
          <cell r="D64">
            <v>0</v>
          </cell>
          <cell r="E64">
            <v>0</v>
          </cell>
          <cell r="F64">
            <v>13499985.74</v>
          </cell>
          <cell r="G64">
            <v>0</v>
          </cell>
          <cell r="H64">
            <v>0</v>
          </cell>
          <cell r="I64">
            <v>0</v>
          </cell>
        </row>
        <row r="66">
          <cell r="A66" t="str">
            <v>Arrendamiento Puro</v>
          </cell>
          <cell r="C66">
            <v>1339585.05</v>
          </cell>
          <cell r="D66">
            <v>4911811.07</v>
          </cell>
          <cell r="E66">
            <v>3572226.0200000005</v>
          </cell>
          <cell r="G66">
            <v>4911811.2200000007</v>
          </cell>
          <cell r="H66">
            <v>4911811.07</v>
          </cell>
          <cell r="I66">
            <v>-0.15000000037252903</v>
          </cell>
        </row>
      </sheetData>
      <sheetData sheetId="27">
        <row r="10">
          <cell r="A10" t="str">
            <v>Pago de Obligaciones (Préstamos Bancarios)</v>
          </cell>
          <cell r="B10">
            <v>15000000</v>
          </cell>
          <cell r="C10">
            <v>20000000</v>
          </cell>
          <cell r="D10">
            <v>0</v>
          </cell>
          <cell r="E10">
            <v>-20000000</v>
          </cell>
          <cell r="F10">
            <v>15000000</v>
          </cell>
          <cell r="G10">
            <v>20000000</v>
          </cell>
          <cell r="H10">
            <v>0</v>
          </cell>
        </row>
        <row r="12">
          <cell r="A12" t="str">
            <v>Intereses, Comisiones y Otros</v>
          </cell>
          <cell r="B12">
            <v>492364.85</v>
          </cell>
          <cell r="C12">
            <v>896376.58</v>
          </cell>
          <cell r="D12">
            <v>1894885.28</v>
          </cell>
          <cell r="E12">
            <v>998508.70000000007</v>
          </cell>
          <cell r="F12">
            <v>2849701.44</v>
          </cell>
          <cell r="G12">
            <v>3514383.62</v>
          </cell>
          <cell r="H12">
            <v>4126321.2800000003</v>
          </cell>
        </row>
        <row r="14">
          <cell r="A14" t="str">
            <v>Amortización de Participaciones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6">
          <cell r="A16" t="str">
            <v>Pago Arrendamiento Financiero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8">
          <cell r="A18" t="str">
            <v>Pago Financiamiento Obra Pública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28">
        <row r="10">
          <cell r="A10" t="str">
            <v>Rehabilitación y Mantenimiento Escuelas</v>
          </cell>
          <cell r="B10">
            <v>367921.84</v>
          </cell>
          <cell r="C10">
            <v>127616.06</v>
          </cell>
          <cell r="D10">
            <v>587452.16000000003</v>
          </cell>
          <cell r="E10">
            <v>459836.10000000003</v>
          </cell>
          <cell r="F10">
            <v>1970899.56</v>
          </cell>
          <cell r="G10">
            <v>2487452.16</v>
          </cell>
          <cell r="H10">
            <v>2724952.16</v>
          </cell>
        </row>
        <row r="12">
          <cell r="A12" t="str">
            <v>Crédito a la Palabra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</row>
        <row r="14">
          <cell r="A14" t="str">
            <v>Integral para Abatir Rezago educativo(PIARE)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</row>
        <row r="16">
          <cell r="A16" t="str">
            <v>Abatir Rezago Educ. Inicial y Básica (PAREIB)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</row>
        <row r="18">
          <cell r="A18" t="str">
            <v>Apoyo a la Vivienda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</row>
        <row r="20">
          <cell r="A20" t="str">
            <v>Gobierno del Estado (Programa Estatal del Inversión)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</row>
        <row r="22">
          <cell r="A22" t="str">
            <v>Programa Fondo Desastres Naturales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</row>
        <row r="24">
          <cell r="A24" t="str">
            <v>Programa Compensatorio UIE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</row>
        <row r="26">
          <cell r="A26" t="str">
            <v>Programa en Nuevo León Decidimos Todos</v>
          </cell>
          <cell r="C26">
            <v>0</v>
          </cell>
          <cell r="D26">
            <v>0</v>
          </cell>
          <cell r="E26">
            <v>0</v>
          </cell>
          <cell r="G26">
            <v>0</v>
          </cell>
          <cell r="H26">
            <v>0</v>
          </cell>
        </row>
        <row r="28">
          <cell r="A28" t="str">
            <v>Programa Iluminación Total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</row>
        <row r="30">
          <cell r="A30" t="str">
            <v>Programa de Obras por Conducto de Municipios</v>
          </cell>
          <cell r="B30">
            <v>773332.45</v>
          </cell>
          <cell r="C30">
            <v>0</v>
          </cell>
          <cell r="D30">
            <v>0</v>
          </cell>
          <cell r="E30">
            <v>0</v>
          </cell>
          <cell r="F30">
            <v>9641642.0499999989</v>
          </cell>
          <cell r="G30">
            <v>0</v>
          </cell>
          <cell r="H30">
            <v>0</v>
          </cell>
        </row>
        <row r="32">
          <cell r="A32" t="str">
            <v>Programa de Obras por Conducto de Municipios 2009</v>
          </cell>
          <cell r="B32">
            <v>6875588.9900000002</v>
          </cell>
          <cell r="C32">
            <v>1875430.31</v>
          </cell>
          <cell r="D32">
            <v>-3794340.92</v>
          </cell>
          <cell r="E32">
            <v>-5669771.2300000004</v>
          </cell>
          <cell r="F32">
            <v>8619905.4499999993</v>
          </cell>
          <cell r="G32">
            <v>3274857.8699999996</v>
          </cell>
          <cell r="H32">
            <v>4268223.0199999986</v>
          </cell>
        </row>
        <row r="34">
          <cell r="A34" t="str">
            <v>Programa de Obras por Conducto de Municipios 2010</v>
          </cell>
          <cell r="C34">
            <v>7154820.4000000004</v>
          </cell>
          <cell r="D34">
            <v>3646202.5300000003</v>
          </cell>
          <cell r="E34">
            <v>-3508617.87</v>
          </cell>
          <cell r="G34">
            <v>7154820.4000000004</v>
          </cell>
          <cell r="H34">
            <v>12548500.529999999</v>
          </cell>
        </row>
        <row r="36">
          <cell r="A36" t="str">
            <v>Otros Egresos</v>
          </cell>
          <cell r="B36">
            <v>103948.86</v>
          </cell>
          <cell r="C36">
            <v>127391.28</v>
          </cell>
          <cell r="D36">
            <v>5697559.3600000003</v>
          </cell>
          <cell r="E36">
            <v>5570168.0800000001</v>
          </cell>
          <cell r="F36">
            <v>411468.23</v>
          </cell>
          <cell r="G36">
            <v>5987865.5099999998</v>
          </cell>
          <cell r="H36">
            <v>5982562.3600000003</v>
          </cell>
        </row>
        <row r="38">
          <cell r="A38" t="str">
            <v>Eventos Especiales</v>
          </cell>
          <cell r="B38">
            <v>4798948.6399999997</v>
          </cell>
          <cell r="C38">
            <v>4031471.2300000004</v>
          </cell>
          <cell r="D38">
            <v>6649705.1899999995</v>
          </cell>
          <cell r="E38">
            <v>2618233.959999999</v>
          </cell>
          <cell r="F38">
            <v>17384612.82</v>
          </cell>
          <cell r="G38">
            <v>16356234.68</v>
          </cell>
          <cell r="H38">
            <v>18969205.190000001</v>
          </cell>
        </row>
        <row r="40">
          <cell r="A40" t="str">
            <v>Fondo de Desarrollo Municipal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2">
          <cell r="A42" t="str">
            <v>Fondo de Desarrollo Municipal 2009</v>
          </cell>
          <cell r="B42">
            <v>5754942.2000000002</v>
          </cell>
          <cell r="C42">
            <v>4064374.38</v>
          </cell>
          <cell r="D42">
            <v>-5619983.5200000005</v>
          </cell>
          <cell r="E42">
            <v>-9684357.9000000004</v>
          </cell>
          <cell r="F42">
            <v>21011454.989999998</v>
          </cell>
          <cell r="G42">
            <v>5370129.2599999998</v>
          </cell>
          <cell r="H42">
            <v>5841963.7800000003</v>
          </cell>
        </row>
        <row r="44">
          <cell r="A44" t="str">
            <v>Fondo de Desarrollo Municipal 2010</v>
          </cell>
          <cell r="C44">
            <v>16109297.559999999</v>
          </cell>
          <cell r="D44">
            <v>19352352.059999995</v>
          </cell>
          <cell r="E44">
            <v>3243054.4999999963</v>
          </cell>
          <cell r="G44">
            <v>24496558.909999996</v>
          </cell>
          <cell r="H44">
            <v>39122802.059999995</v>
          </cell>
        </row>
        <row r="46">
          <cell r="A46" t="str">
            <v>Fondo de Ultracrecimiento</v>
          </cell>
          <cell r="C46">
            <v>0</v>
          </cell>
          <cell r="D46">
            <v>-296765.02</v>
          </cell>
          <cell r="E46">
            <v>-296765.02</v>
          </cell>
          <cell r="F46">
            <v>9880294.5899999999</v>
          </cell>
          <cell r="G46">
            <v>0</v>
          </cell>
          <cell r="H46">
            <v>0</v>
          </cell>
        </row>
        <row r="48">
          <cell r="A48" t="str">
            <v>Fondo de Ultracrecimiento 2009</v>
          </cell>
          <cell r="B48">
            <v>980727.16</v>
          </cell>
          <cell r="C48">
            <v>0</v>
          </cell>
          <cell r="D48">
            <v>-1330105.49</v>
          </cell>
          <cell r="E48">
            <v>-1330105.49</v>
          </cell>
          <cell r="F48">
            <v>11934472.129999999</v>
          </cell>
          <cell r="G48">
            <v>13259304.050000001</v>
          </cell>
          <cell r="H48">
            <v>13435894.51</v>
          </cell>
        </row>
        <row r="50">
          <cell r="A50" t="str">
            <v>Fondo de Ultracrecimiento 2010</v>
          </cell>
          <cell r="C50">
            <v>9397769.9600000009</v>
          </cell>
          <cell r="D50">
            <v>8689923.5500000007</v>
          </cell>
          <cell r="E50">
            <v>-707846.41000000015</v>
          </cell>
          <cell r="G50">
            <v>18226949.68</v>
          </cell>
          <cell r="H50">
            <v>28363273.550000001</v>
          </cell>
        </row>
        <row r="52">
          <cell r="A52" t="str">
            <v>Subsemun</v>
          </cell>
          <cell r="B52">
            <v>502241.1</v>
          </cell>
          <cell r="C52">
            <v>0</v>
          </cell>
          <cell r="D52">
            <v>1366035.92</v>
          </cell>
          <cell r="E52">
            <v>1366035.92</v>
          </cell>
          <cell r="F52">
            <v>7063429.8199999994</v>
          </cell>
          <cell r="G52">
            <v>2033335.92</v>
          </cell>
          <cell r="H52">
            <v>1766035.92</v>
          </cell>
        </row>
        <row r="54">
          <cell r="A54" t="str">
            <v>Subsemun 2009</v>
          </cell>
          <cell r="B54">
            <v>7692227.3799999999</v>
          </cell>
          <cell r="C54">
            <v>7074</v>
          </cell>
          <cell r="D54">
            <v>141226.44</v>
          </cell>
          <cell r="E54">
            <v>134152.44</v>
          </cell>
          <cell r="F54">
            <v>7715698.5899999999</v>
          </cell>
          <cell r="G54">
            <v>148300.44000000003</v>
          </cell>
          <cell r="H54">
            <v>141226.44</v>
          </cell>
        </row>
        <row r="56">
          <cell r="A56" t="str">
            <v>Subsemun 2010</v>
          </cell>
          <cell r="C56">
            <v>6126399.3499999996</v>
          </cell>
          <cell r="D56">
            <v>13392946.91</v>
          </cell>
          <cell r="E56">
            <v>7266547.5600000005</v>
          </cell>
          <cell r="G56">
            <v>11831646.57</v>
          </cell>
          <cell r="H56">
            <v>13392946.91</v>
          </cell>
        </row>
        <row r="58">
          <cell r="A58" t="str">
            <v>Fondo Especial</v>
          </cell>
          <cell r="B58">
            <v>2646753.52</v>
          </cell>
          <cell r="C58">
            <v>0</v>
          </cell>
          <cell r="D58">
            <v>0</v>
          </cell>
          <cell r="E58">
            <v>0</v>
          </cell>
          <cell r="F58">
            <v>8998634.7699999996</v>
          </cell>
          <cell r="G58">
            <v>0</v>
          </cell>
          <cell r="H58">
            <v>0</v>
          </cell>
        </row>
        <row r="60">
          <cell r="A60" t="str">
            <v>D.S. Espacios Públicos</v>
          </cell>
          <cell r="B60">
            <v>41291.449999999997</v>
          </cell>
          <cell r="C60">
            <v>0</v>
          </cell>
          <cell r="D60">
            <v>0</v>
          </cell>
          <cell r="E60">
            <v>0</v>
          </cell>
          <cell r="F60">
            <v>2759399.81</v>
          </cell>
          <cell r="G60">
            <v>0</v>
          </cell>
          <cell r="H60">
            <v>0</v>
          </cell>
        </row>
        <row r="62">
          <cell r="A62" t="str">
            <v>D.S. Espacios Públicos 2009</v>
          </cell>
          <cell r="B62">
            <v>409824.44</v>
          </cell>
          <cell r="C62">
            <v>0</v>
          </cell>
          <cell r="D62">
            <v>38974.800000000003</v>
          </cell>
          <cell r="E62">
            <v>38974.800000000003</v>
          </cell>
          <cell r="F62">
            <v>3346534.81</v>
          </cell>
          <cell r="G62">
            <v>518286.02</v>
          </cell>
          <cell r="H62">
            <v>1282482.22</v>
          </cell>
        </row>
        <row r="64">
          <cell r="A64" t="str">
            <v>D.S. Espacios Públicos 2010</v>
          </cell>
          <cell r="C64">
            <v>4626143.87</v>
          </cell>
          <cell r="D64">
            <v>11906767.5</v>
          </cell>
          <cell r="E64">
            <v>7280623.6299999999</v>
          </cell>
          <cell r="G64">
            <v>5673744.8300000001</v>
          </cell>
          <cell r="H64">
            <v>11906767.5</v>
          </cell>
        </row>
        <row r="66">
          <cell r="A66" t="str">
            <v>DUNL Regia Metropoli Accesibilidad Total</v>
          </cell>
          <cell r="C66">
            <v>0</v>
          </cell>
          <cell r="D66">
            <v>0</v>
          </cell>
          <cell r="E66">
            <v>0</v>
          </cell>
          <cell r="F66">
            <v>392125.61</v>
          </cell>
          <cell r="G66">
            <v>0</v>
          </cell>
          <cell r="H66">
            <v>0</v>
          </cell>
        </row>
        <row r="68">
          <cell r="A68" t="str">
            <v>CONADE</v>
          </cell>
          <cell r="B68">
            <v>2696687.1</v>
          </cell>
          <cell r="C68">
            <v>0</v>
          </cell>
          <cell r="D68">
            <v>-817475.53</v>
          </cell>
          <cell r="E68">
            <v>-817475.53</v>
          </cell>
          <cell r="F68">
            <v>6847087.2300000004</v>
          </cell>
          <cell r="G68">
            <v>0</v>
          </cell>
          <cell r="H68">
            <v>0</v>
          </cell>
        </row>
        <row r="70">
          <cell r="A70" t="str">
            <v>CONADE 2009</v>
          </cell>
          <cell r="C70">
            <v>0</v>
          </cell>
          <cell r="D70">
            <v>-5200000</v>
          </cell>
          <cell r="E70">
            <v>-5200000</v>
          </cell>
          <cell r="G70">
            <v>0</v>
          </cell>
          <cell r="H70">
            <v>0</v>
          </cell>
        </row>
        <row r="72">
          <cell r="A72" t="str">
            <v>Fondo Metropolitano</v>
          </cell>
          <cell r="C72">
            <v>0</v>
          </cell>
          <cell r="D72">
            <v>26184.240000000224</v>
          </cell>
          <cell r="E72">
            <v>26184.240000000224</v>
          </cell>
          <cell r="F72">
            <v>14589770.809999999</v>
          </cell>
          <cell r="G72">
            <v>0</v>
          </cell>
          <cell r="H72">
            <v>4026184.24</v>
          </cell>
        </row>
        <row r="74">
          <cell r="A74" t="str">
            <v>Fondo Metropolitano 2009</v>
          </cell>
          <cell r="C74">
            <v>0</v>
          </cell>
          <cell r="D74">
            <v>-358741.15</v>
          </cell>
          <cell r="E74">
            <v>-358741.15</v>
          </cell>
          <cell r="F74">
            <v>17296807.390000001</v>
          </cell>
          <cell r="G74">
            <v>11176678.18</v>
          </cell>
          <cell r="H74">
            <v>12344451.459999999</v>
          </cell>
        </row>
        <row r="76">
          <cell r="A76" t="str">
            <v>CENDIS</v>
          </cell>
          <cell r="B76">
            <v>14318769.300000001</v>
          </cell>
          <cell r="C76">
            <v>0</v>
          </cell>
          <cell r="D76">
            <v>-40281.579999999143</v>
          </cell>
          <cell r="E76">
            <v>-40281.579999999143</v>
          </cell>
          <cell r="F76">
            <v>23906430.920000002</v>
          </cell>
          <cell r="G76">
            <v>5977193.9700000007</v>
          </cell>
          <cell r="H76">
            <v>5977193.9700000007</v>
          </cell>
        </row>
        <row r="78">
          <cell r="A78" t="str">
            <v>Programa Tu Casa 2007</v>
          </cell>
          <cell r="B78">
            <v>144033.03</v>
          </cell>
          <cell r="C78">
            <v>0</v>
          </cell>
          <cell r="D78">
            <v>-0.20000000006984919</v>
          </cell>
          <cell r="E78">
            <v>-0.20000000006984919</v>
          </cell>
          <cell r="F78">
            <v>5088626.68</v>
          </cell>
          <cell r="G78">
            <v>0</v>
          </cell>
          <cell r="H78">
            <v>709623.12</v>
          </cell>
        </row>
        <row r="80">
          <cell r="A80" t="str">
            <v>Programa Hábitat</v>
          </cell>
          <cell r="C80">
            <v>772876.76</v>
          </cell>
          <cell r="D80">
            <v>2594548.0699999998</v>
          </cell>
          <cell r="E80">
            <v>1821671.3099999998</v>
          </cell>
          <cell r="G80">
            <v>1451241.17</v>
          </cell>
          <cell r="H80">
            <v>2594548.0699999998</v>
          </cell>
        </row>
        <row r="82">
          <cell r="A82" t="str">
            <v>Fondos Descentralizados 2010</v>
          </cell>
          <cell r="C82">
            <v>963562.04</v>
          </cell>
          <cell r="D82">
            <v>386376.6</v>
          </cell>
          <cell r="E82">
            <v>-577185.44000000006</v>
          </cell>
          <cell r="G82">
            <v>3674442.6600000006</v>
          </cell>
          <cell r="H82">
            <v>4168465.6</v>
          </cell>
        </row>
        <row r="84">
          <cell r="A84" t="str">
            <v>Programa Empleo Temporal</v>
          </cell>
          <cell r="C84">
            <v>295952.89</v>
          </cell>
          <cell r="D84">
            <v>0</v>
          </cell>
          <cell r="E84">
            <v>-295952.89</v>
          </cell>
          <cell r="G84">
            <v>295952.89</v>
          </cell>
          <cell r="H84">
            <v>0</v>
          </cell>
        </row>
        <row r="86">
          <cell r="A86" t="str">
            <v>FONDEN</v>
          </cell>
          <cell r="C86">
            <v>0</v>
          </cell>
          <cell r="D86">
            <v>2043298</v>
          </cell>
          <cell r="E86">
            <v>2043298</v>
          </cell>
          <cell r="G86">
            <v>0</v>
          </cell>
          <cell r="H86">
            <v>2043298</v>
          </cell>
        </row>
        <row r="88">
          <cell r="A88" t="str">
            <v>FOPAM</v>
          </cell>
          <cell r="C88">
            <v>2463583.5299999998</v>
          </cell>
          <cell r="D88">
            <v>8211945.1099999994</v>
          </cell>
          <cell r="E88">
            <v>5748361.5800000001</v>
          </cell>
          <cell r="G88">
            <v>2463583.5299999998</v>
          </cell>
          <cell r="H88">
            <v>8211945.1099999994</v>
          </cell>
        </row>
        <row r="90">
          <cell r="A90" t="str">
            <v>CONAGUA</v>
          </cell>
          <cell r="C90">
            <v>0</v>
          </cell>
          <cell r="D90">
            <v>19773183</v>
          </cell>
          <cell r="E90">
            <v>19773183</v>
          </cell>
          <cell r="G90">
            <v>0</v>
          </cell>
          <cell r="H90">
            <v>19773183</v>
          </cell>
        </row>
      </sheetData>
      <sheetData sheetId="2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GRESOS REALES A OCTUBRE 2011"/>
      <sheetName val="Hoja1"/>
      <sheetName val="Hoja2"/>
      <sheetName val="Hoja4"/>
      <sheetName val="Hoja23"/>
      <sheetName val="Hoja24"/>
      <sheetName val="Hoja26"/>
      <sheetName val="Hoja20"/>
      <sheetName val="Hoja3"/>
      <sheetName val="Hoja6"/>
      <sheetName val="forta 2011"/>
      <sheetName val="Hoja5"/>
      <sheetName val="Hoja7"/>
      <sheetName val="ajuste"/>
      <sheetName val="asis soc."/>
      <sheetName val="ajuste1"/>
      <sheetName val="Hoja9"/>
      <sheetName val="ajuste2"/>
      <sheetName val="ajuste3"/>
      <sheetName val="Hoja11"/>
      <sheetName val="Hoja10"/>
      <sheetName val="Hoja25"/>
      <sheetName val="Hoja28"/>
      <sheetName val="Hoja8"/>
      <sheetName val="corr. 1"/>
      <sheetName val="corr. 2"/>
      <sheetName val="corr. 3"/>
      <sheetName val="Hoja12"/>
      <sheetName val="Hoja13"/>
      <sheetName val="Hoja15"/>
      <sheetName val="ajuste4"/>
      <sheetName val="ajuste5"/>
      <sheetName val="ajuste6"/>
      <sheetName val="Hoja16"/>
      <sheetName val="Hoja29"/>
      <sheetName val="Hoja14"/>
      <sheetName val="hoja 14 cp"/>
      <sheetName val="Hoja18"/>
      <sheetName val="Hoja19"/>
      <sheetName val="Hoja21"/>
      <sheetName val="Hoja22"/>
      <sheetName val="Hoja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0502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0502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5">
          <cell r="B5" t="str">
            <v>ADMINISTRACION PUBLICA</v>
          </cell>
          <cell r="C5">
            <v>346563742</v>
          </cell>
          <cell r="D5">
            <v>359450437.59000003</v>
          </cell>
          <cell r="E5">
            <v>-12886695.589999996</v>
          </cell>
        </row>
        <row r="6">
          <cell r="B6" t="str">
            <v>ALUMBRADO PUBLICO</v>
          </cell>
          <cell r="C6">
            <v>67870800</v>
          </cell>
          <cell r="D6">
            <v>69379083.079999998</v>
          </cell>
          <cell r="E6">
            <v>-1508283.0799999982</v>
          </cell>
        </row>
        <row r="7">
          <cell r="B7" t="str">
            <v>LIMPIA</v>
          </cell>
          <cell r="C7">
            <v>35120269.719999999</v>
          </cell>
          <cell r="D7">
            <v>34957513.519999996</v>
          </cell>
          <cell r="E7">
            <v>162756.20000000298</v>
          </cell>
        </row>
        <row r="8">
          <cell r="B8" t="str">
            <v>MANTENIMIENTO DE VIAS PUBLICAS</v>
          </cell>
          <cell r="C8">
            <v>399600</v>
          </cell>
          <cell r="D8">
            <v>428520</v>
          </cell>
          <cell r="E8">
            <v>-28920</v>
          </cell>
        </row>
        <row r="9">
          <cell r="B9" t="str">
            <v>OTROS SERVICIOS COMUNITARIOS</v>
          </cell>
          <cell r="C9">
            <v>4924266</v>
          </cell>
          <cell r="D9">
            <v>5435846.5099999988</v>
          </cell>
          <cell r="E9">
            <v>-511580.50999999885</v>
          </cell>
        </row>
        <row r="10">
          <cell r="B10" t="str">
            <v>SERVICIOS COMUNITARIOS</v>
          </cell>
          <cell r="C10">
            <v>108314935.72</v>
          </cell>
          <cell r="D10">
            <v>110200963.11</v>
          </cell>
          <cell r="E10">
            <v>-1886027.3899999941</v>
          </cell>
        </row>
        <row r="11">
          <cell r="B11" t="str">
            <v>EDUCACION</v>
          </cell>
          <cell r="C11">
            <v>6856997</v>
          </cell>
          <cell r="D11">
            <v>7417986.4299999997</v>
          </cell>
          <cell r="E11">
            <v>-560989.4299999997</v>
          </cell>
        </row>
        <row r="12">
          <cell r="B12" t="str">
            <v>FONDO AL DEPORTE</v>
          </cell>
          <cell r="C12">
            <v>2000000</v>
          </cell>
          <cell r="D12">
            <v>2651771.17</v>
          </cell>
          <cell r="E12">
            <v>-651771.16999999993</v>
          </cell>
        </row>
        <row r="13">
          <cell r="B13" t="str">
            <v>APORT. A CENTROS ASISTENCIALES</v>
          </cell>
          <cell r="C13">
            <v>13050780</v>
          </cell>
          <cell r="D13">
            <v>19256951.849999994</v>
          </cell>
          <cell r="E13">
            <v>-6206171.849999994</v>
          </cell>
        </row>
        <row r="14">
          <cell r="B14" t="str">
            <v>OTROS EGRESOS DES. SOCIAL</v>
          </cell>
          <cell r="C14">
            <v>2601300</v>
          </cell>
          <cell r="D14">
            <v>2326623.19</v>
          </cell>
          <cell r="E14">
            <v>274676.81000000006</v>
          </cell>
        </row>
        <row r="15">
          <cell r="B15" t="str">
            <v>ASISTENCIA SOCIAL</v>
          </cell>
          <cell r="C15">
            <v>6980581</v>
          </cell>
          <cell r="D15">
            <v>11683619.85</v>
          </cell>
          <cell r="E15">
            <v>-4703038.8499999996</v>
          </cell>
        </row>
        <row r="16">
          <cell r="B16" t="str">
            <v>ESTIMULOS A LA EDUCACION BASIC</v>
          </cell>
          <cell r="C16">
            <v>3080000</v>
          </cell>
          <cell r="D16">
            <v>3302635</v>
          </cell>
          <cell r="E16">
            <v>-222635</v>
          </cell>
        </row>
        <row r="17">
          <cell r="B17" t="str">
            <v>DESARROLLO SOCIAL</v>
          </cell>
          <cell r="C17">
            <v>34569658</v>
          </cell>
          <cell r="D17">
            <v>46639587.489999995</v>
          </cell>
          <cell r="E17">
            <v>-12069929.489999993</v>
          </cell>
        </row>
        <row r="18">
          <cell r="B18" t="str">
            <v>COMBUSTIBLE</v>
          </cell>
          <cell r="C18">
            <v>45000000</v>
          </cell>
          <cell r="D18">
            <v>49733412.179999992</v>
          </cell>
          <cell r="E18">
            <v>-4733412.1799999923</v>
          </cell>
        </row>
        <row r="19">
          <cell r="B19" t="str">
            <v>MANTTO. EQUIPO DE TRANSPORTE</v>
          </cell>
          <cell r="C19">
            <v>15000000</v>
          </cell>
          <cell r="D19">
            <v>16099013.969999999</v>
          </cell>
          <cell r="E19">
            <v>-1099013.9699999988</v>
          </cell>
        </row>
        <row r="20">
          <cell r="B20" t="str">
            <v>EQUIPO DE COMPUTO</v>
          </cell>
          <cell r="C20">
            <v>120690</v>
          </cell>
          <cell r="D20">
            <v>420491.89999999997</v>
          </cell>
          <cell r="E20">
            <v>-299801.89999999997</v>
          </cell>
        </row>
        <row r="21">
          <cell r="B21" t="str">
            <v>EDIFICIOS PUBLICOS</v>
          </cell>
          <cell r="C21">
            <v>3500000</v>
          </cell>
          <cell r="D21">
            <v>4250288.54</v>
          </cell>
          <cell r="E21">
            <v>-750288.54</v>
          </cell>
        </row>
        <row r="22">
          <cell r="B22" t="str">
            <v>EQUIPOS DE OFICINA</v>
          </cell>
          <cell r="C22">
            <v>129772</v>
          </cell>
          <cell r="D22">
            <v>35712.58</v>
          </cell>
          <cell r="E22">
            <v>94059.42</v>
          </cell>
        </row>
        <row r="23">
          <cell r="B23" t="str">
            <v>OTROS</v>
          </cell>
          <cell r="C23">
            <v>3630436</v>
          </cell>
          <cell r="D23">
            <v>3944017.7900000005</v>
          </cell>
          <cell r="E23">
            <v>-313581.7900000005</v>
          </cell>
        </row>
        <row r="24">
          <cell r="B24" t="str">
            <v>MTTO. Y CONSERVACION DE ACTIVO</v>
          </cell>
          <cell r="C24">
            <v>67380898</v>
          </cell>
          <cell r="D24">
            <v>74482936.959999993</v>
          </cell>
          <cell r="E24">
            <v>-7102038.9599999916</v>
          </cell>
        </row>
        <row r="25">
          <cell r="B25" t="str">
            <v>BIENES MUEBLES</v>
          </cell>
          <cell r="C25">
            <v>4300000</v>
          </cell>
          <cell r="D25">
            <v>6550410.1700000009</v>
          </cell>
          <cell r="E25">
            <v>-2250410.1700000009</v>
          </cell>
        </row>
        <row r="26">
          <cell r="B26" t="str">
            <v>BIENES INMUEBLES</v>
          </cell>
          <cell r="C26">
            <v>0</v>
          </cell>
          <cell r="D26">
            <v>1150000</v>
          </cell>
          <cell r="E26">
            <v>-1150000</v>
          </cell>
        </row>
        <row r="27">
          <cell r="B27" t="str">
            <v>ADQUISICIONES</v>
          </cell>
          <cell r="C27">
            <v>4300000</v>
          </cell>
          <cell r="D27">
            <v>7700410.1700000009</v>
          </cell>
          <cell r="E27">
            <v>-3400410.1700000009</v>
          </cell>
        </row>
        <row r="28">
          <cell r="B28" t="str">
            <v>CONCEPTO</v>
          </cell>
          <cell r="C28" t="str">
            <v>PRESUPUESTO 2011</v>
          </cell>
          <cell r="D28" t="str">
            <v>PRESUPUESTO MODIFICADO</v>
          </cell>
          <cell r="E28" t="str">
            <v>VARIACION</v>
          </cell>
        </row>
        <row r="29">
          <cell r="B29" t="str">
            <v>OBRAS PUBLICAS DIRECTAS</v>
          </cell>
          <cell r="C29">
            <v>55490488</v>
          </cell>
          <cell r="D29">
            <v>67085869.259999998</v>
          </cell>
          <cell r="E29">
            <v>-11595381.259999998</v>
          </cell>
        </row>
        <row r="30">
          <cell r="B30" t="str">
            <v>OBRAS PUBLICAS P/CONTRATO</v>
          </cell>
          <cell r="C30">
            <v>235701894.17000002</v>
          </cell>
          <cell r="D30">
            <v>198855080.90000001</v>
          </cell>
          <cell r="E30">
            <v>36846813.270000011</v>
          </cell>
        </row>
        <row r="31">
          <cell r="B31" t="str">
            <v>DESARROLLO URBANO Y ECOLOGIA</v>
          </cell>
          <cell r="C31">
            <v>291192382.17000002</v>
          </cell>
          <cell r="D31">
            <v>265940950.16</v>
          </cell>
          <cell r="E31">
            <v>25251432.010000013</v>
          </cell>
        </row>
        <row r="32">
          <cell r="B32" t="str">
            <v>OBRA PUBLICA 2006</v>
          </cell>
          <cell r="C32">
            <v>123156.9</v>
          </cell>
          <cell r="D32">
            <v>2614056.64</v>
          </cell>
          <cell r="E32">
            <v>-2490899.7400000002</v>
          </cell>
        </row>
        <row r="33">
          <cell r="B33" t="str">
            <v>GASTOS FINANCIEROS 2007</v>
          </cell>
          <cell r="C33">
            <v>0</v>
          </cell>
          <cell r="D33">
            <v>11.6</v>
          </cell>
          <cell r="E33">
            <v>-11.6</v>
          </cell>
        </row>
        <row r="34">
          <cell r="B34" t="str">
            <v>OBRA PUBLICA 2009</v>
          </cell>
          <cell r="C34">
            <v>1986112.1099999999</v>
          </cell>
          <cell r="D34">
            <v>7562045.0599999987</v>
          </cell>
          <cell r="E34">
            <v>-5575932.9499999993</v>
          </cell>
        </row>
        <row r="35">
          <cell r="B35" t="str">
            <v>GASTOS FINANCIEROS 2009</v>
          </cell>
          <cell r="C35">
            <v>0</v>
          </cell>
          <cell r="D35">
            <v>980.2</v>
          </cell>
          <cell r="E35">
            <v>-980.2</v>
          </cell>
        </row>
        <row r="36">
          <cell r="B36" t="str">
            <v>OBRA PUBLICA 2010</v>
          </cell>
          <cell r="C36">
            <v>265924.82</v>
          </cell>
          <cell r="D36">
            <v>237588.56</v>
          </cell>
          <cell r="E36">
            <v>28336.260000000009</v>
          </cell>
        </row>
        <row r="37">
          <cell r="B37" t="str">
            <v>GASTOS FINANCIEROS 2010</v>
          </cell>
          <cell r="C37">
            <v>0</v>
          </cell>
          <cell r="D37">
            <v>1740</v>
          </cell>
          <cell r="E37">
            <v>-1740</v>
          </cell>
        </row>
        <row r="38">
          <cell r="B38" t="str">
            <v>OBRA PUBLICA 2011</v>
          </cell>
          <cell r="C38">
            <v>12165000</v>
          </cell>
          <cell r="D38">
            <v>13236429.65</v>
          </cell>
          <cell r="E38">
            <v>-1071429.6500000004</v>
          </cell>
        </row>
        <row r="39">
          <cell r="B39" t="str">
            <v>GASTOS FINANCIEROS 2011</v>
          </cell>
          <cell r="C39">
            <v>69.599999999999994</v>
          </cell>
          <cell r="D39">
            <v>0</v>
          </cell>
          <cell r="E39">
            <v>69.599999999999994</v>
          </cell>
        </row>
        <row r="40">
          <cell r="B40" t="str">
            <v>FONDO DE INFRAESTRUCTURA</v>
          </cell>
          <cell r="C40">
            <v>14540263.43</v>
          </cell>
          <cell r="D40">
            <v>23652851.710000001</v>
          </cell>
          <cell r="E40">
            <v>-9112588.2799999993</v>
          </cell>
        </row>
        <row r="41">
          <cell r="B41" t="str">
            <v>ADMON DE LA FUNCION PUBLICA</v>
          </cell>
          <cell r="C41">
            <v>103822933</v>
          </cell>
          <cell r="D41">
            <v>93271975.780000001</v>
          </cell>
          <cell r="E41">
            <v>10550957.219999999</v>
          </cell>
        </row>
        <row r="42">
          <cell r="B42" t="str">
            <v>OBRA PUBLICA 2008</v>
          </cell>
          <cell r="C42">
            <v>3676022.98</v>
          </cell>
          <cell r="D42">
            <v>0</v>
          </cell>
          <cell r="E42">
            <v>3676022.98</v>
          </cell>
        </row>
        <row r="43">
          <cell r="B43" t="str">
            <v>GASTOS FINANCIEROS 2008</v>
          </cell>
          <cell r="C43">
            <v>0</v>
          </cell>
          <cell r="D43">
            <v>5.8</v>
          </cell>
          <cell r="E43">
            <v>-5.8</v>
          </cell>
        </row>
        <row r="44">
          <cell r="B44" t="str">
            <v>ADMON DE LA FUNC PUB  REC PROP</v>
          </cell>
          <cell r="C44">
            <v>0</v>
          </cell>
          <cell r="D44">
            <v>220899.4</v>
          </cell>
          <cell r="E44">
            <v>-220899.4</v>
          </cell>
        </row>
        <row r="45">
          <cell r="B45" t="str">
            <v>PAGO FINANCIAMIENTO</v>
          </cell>
          <cell r="C45">
            <v>46701966</v>
          </cell>
          <cell r="D45">
            <v>110848656.2</v>
          </cell>
          <cell r="E45">
            <v>-64146690.200000003</v>
          </cell>
        </row>
        <row r="46">
          <cell r="B46" t="str">
            <v>OBRA PUBLICA 2009</v>
          </cell>
          <cell r="C46">
            <v>60507.66</v>
          </cell>
          <cell r="D46">
            <v>0</v>
          </cell>
          <cell r="E46">
            <v>60507.66</v>
          </cell>
        </row>
        <row r="47">
          <cell r="B47" t="str">
            <v>GASTOS DE FUNCION 2009</v>
          </cell>
          <cell r="C47">
            <v>0</v>
          </cell>
          <cell r="D47">
            <v>0</v>
          </cell>
          <cell r="E47">
            <v>0</v>
          </cell>
        </row>
        <row r="48">
          <cell r="B48" t="str">
            <v>MTTO. DE TRANSPORTE 2009</v>
          </cell>
          <cell r="C48">
            <v>0</v>
          </cell>
          <cell r="D48">
            <v>0</v>
          </cell>
          <cell r="E48">
            <v>0</v>
          </cell>
        </row>
        <row r="49">
          <cell r="B49" t="str">
            <v>GASTOS FINANCIEROS 2009</v>
          </cell>
          <cell r="C49">
            <v>0</v>
          </cell>
          <cell r="D49">
            <v>0</v>
          </cell>
          <cell r="E49">
            <v>0</v>
          </cell>
        </row>
        <row r="50">
          <cell r="B50" t="str">
            <v>APORTACION SUBSEMUN</v>
          </cell>
          <cell r="C50">
            <v>0</v>
          </cell>
          <cell r="D50">
            <v>3000000</v>
          </cell>
          <cell r="E50">
            <v>-3000000</v>
          </cell>
        </row>
        <row r="51">
          <cell r="B51" t="str">
            <v>OBRA PUBLICA 2010</v>
          </cell>
          <cell r="C51">
            <v>81479.5</v>
          </cell>
          <cell r="D51">
            <v>0</v>
          </cell>
          <cell r="E51">
            <v>81479.5</v>
          </cell>
        </row>
        <row r="52">
          <cell r="B52" t="str">
            <v>ADQUISICIONES 2010</v>
          </cell>
          <cell r="C52">
            <v>0</v>
          </cell>
          <cell r="D52">
            <v>1385434.56</v>
          </cell>
          <cell r="E52">
            <v>-1385434.56</v>
          </cell>
        </row>
        <row r="53">
          <cell r="B53" t="str">
            <v>GASTOS DE FUNCION 2010</v>
          </cell>
          <cell r="C53">
            <v>0</v>
          </cell>
          <cell r="D53">
            <v>3114437.6</v>
          </cell>
          <cell r="E53">
            <v>-3114437.6</v>
          </cell>
        </row>
        <row r="54">
          <cell r="B54" t="str">
            <v>APORT. CENTROS ASIST. 2010</v>
          </cell>
          <cell r="C54">
            <v>0</v>
          </cell>
          <cell r="D54">
            <v>0</v>
          </cell>
          <cell r="E54">
            <v>0</v>
          </cell>
        </row>
        <row r="55">
          <cell r="B55" t="str">
            <v>MTTO. DE TRANSPORTE 2010</v>
          </cell>
          <cell r="C55">
            <v>0</v>
          </cell>
          <cell r="D55">
            <v>887046.42999999993</v>
          </cell>
          <cell r="E55">
            <v>-887046.42999999993</v>
          </cell>
        </row>
        <row r="56">
          <cell r="B56" t="str">
            <v>GASTOS FINANCIEROS 2010</v>
          </cell>
          <cell r="C56">
            <v>0</v>
          </cell>
          <cell r="D56">
            <v>996.32</v>
          </cell>
          <cell r="E56">
            <v>-996.32</v>
          </cell>
        </row>
        <row r="57">
          <cell r="B57" t="str">
            <v>ARRENDAMIENTO PURO</v>
          </cell>
          <cell r="C57">
            <v>5358339</v>
          </cell>
          <cell r="D57">
            <v>5358340.5</v>
          </cell>
          <cell r="E57">
            <v>-1.5</v>
          </cell>
        </row>
        <row r="58">
          <cell r="B58" t="str">
            <v>ADQUISICIONES 2011</v>
          </cell>
          <cell r="C58">
            <v>6030000</v>
          </cell>
          <cell r="D58">
            <v>1898691.09</v>
          </cell>
          <cell r="E58">
            <v>4131308.91</v>
          </cell>
        </row>
        <row r="59">
          <cell r="B59" t="str">
            <v>GASTOS DE FUNCION 2011</v>
          </cell>
          <cell r="C59">
            <v>11581924</v>
          </cell>
          <cell r="D59">
            <v>7593277.1200000001</v>
          </cell>
          <cell r="E59">
            <v>3988646.88</v>
          </cell>
        </row>
        <row r="60">
          <cell r="B60" t="str">
            <v>APORT.CENTROS ASIST 2011</v>
          </cell>
          <cell r="C60">
            <v>1440000</v>
          </cell>
          <cell r="D60">
            <v>1440000</v>
          </cell>
          <cell r="E60">
            <v>0</v>
          </cell>
        </row>
        <row r="61">
          <cell r="B61" t="str">
            <v>MTTO. DE TRANSPORTE 2011</v>
          </cell>
          <cell r="C61">
            <v>7361438</v>
          </cell>
          <cell r="D61">
            <v>5298445.1099999994</v>
          </cell>
          <cell r="E61">
            <v>2062992.8900000006</v>
          </cell>
        </row>
        <row r="62">
          <cell r="B62" t="str">
            <v>GASTOS FINANCIEROS 2011</v>
          </cell>
          <cell r="C62">
            <v>2400</v>
          </cell>
          <cell r="D62">
            <v>5.8</v>
          </cell>
          <cell r="E62">
            <v>2394.1999999999998</v>
          </cell>
        </row>
        <row r="63">
          <cell r="B63" t="str">
            <v>FONDO DE FORTALECIMIENTO MPAL</v>
          </cell>
          <cell r="C63">
            <v>186117010.14000002</v>
          </cell>
          <cell r="D63">
            <v>234318211.71000004</v>
          </cell>
          <cell r="E63">
            <v>-48201201.57</v>
          </cell>
        </row>
        <row r="64">
          <cell r="B64" t="str">
            <v>CONCEPTO</v>
          </cell>
          <cell r="C64" t="str">
            <v>PRESUPUESTO 2011</v>
          </cell>
          <cell r="D64" t="str">
            <v>PRESUPUESTO MODIFICADO</v>
          </cell>
          <cell r="E64" t="str">
            <v>VARIACION</v>
          </cell>
        </row>
        <row r="65">
          <cell r="B65" t="str">
            <v>EVENTOS ESPECIALES</v>
          </cell>
          <cell r="C65">
            <v>21517000</v>
          </cell>
          <cell r="D65">
            <v>28194373.27999999</v>
          </cell>
          <cell r="E65">
            <v>-6677373.27999999</v>
          </cell>
        </row>
        <row r="66">
          <cell r="B66" t="str">
            <v>OTROS EGRESOS</v>
          </cell>
          <cell r="C66">
            <v>0</v>
          </cell>
          <cell r="D66">
            <v>903909.72</v>
          </cell>
          <cell r="E66">
            <v>-903909.72</v>
          </cell>
        </row>
        <row r="67">
          <cell r="B67" t="str">
            <v>OTROS EGRESOS</v>
          </cell>
          <cell r="C67">
            <v>21517000</v>
          </cell>
          <cell r="D67">
            <v>29098282.999999989</v>
          </cell>
          <cell r="E67">
            <v>-7581282.9999999898</v>
          </cell>
        </row>
        <row r="68">
          <cell r="B68" t="str">
            <v>FINANCIAMIENTO BANCARI MPIO.</v>
          </cell>
          <cell r="C68">
            <v>0</v>
          </cell>
          <cell r="D68">
            <v>23977000</v>
          </cell>
          <cell r="E68">
            <v>-23977000</v>
          </cell>
        </row>
        <row r="69">
          <cell r="B69" t="str">
            <v>COM.Y SITUACIONES BANCARIAS</v>
          </cell>
          <cell r="C69">
            <v>878400</v>
          </cell>
          <cell r="D69">
            <v>416047.58999999997</v>
          </cell>
          <cell r="E69">
            <v>462352.41000000003</v>
          </cell>
        </row>
        <row r="70">
          <cell r="B70" t="str">
            <v>INTERESES</v>
          </cell>
          <cell r="C70">
            <v>9075000</v>
          </cell>
          <cell r="D70">
            <v>15782363.52</v>
          </cell>
          <cell r="E70">
            <v>-6707363.5199999996</v>
          </cell>
        </row>
        <row r="71">
          <cell r="B71" t="str">
            <v>OTROS</v>
          </cell>
          <cell r="C71">
            <v>0</v>
          </cell>
          <cell r="D71">
            <v>418174</v>
          </cell>
          <cell r="E71">
            <v>-418174</v>
          </cell>
        </row>
        <row r="72">
          <cell r="B72" t="str">
            <v>GASTOS FINANCIEROS</v>
          </cell>
          <cell r="C72">
            <v>9953400</v>
          </cell>
          <cell r="D72">
            <v>40593585.109999999</v>
          </cell>
          <cell r="E72">
            <v>-30640185.109999999</v>
          </cell>
        </row>
        <row r="73">
          <cell r="B73" t="str">
            <v>PROG.REHABILIT. Y MTTO.ESCUELA</v>
          </cell>
          <cell r="C73">
            <v>0</v>
          </cell>
          <cell r="D73">
            <v>3256760</v>
          </cell>
          <cell r="E73">
            <v>-3256760</v>
          </cell>
        </row>
        <row r="74">
          <cell r="B74" t="str">
            <v>OTRAS APORTACIONES</v>
          </cell>
          <cell r="C74">
            <v>0</v>
          </cell>
          <cell r="D74">
            <v>0</v>
          </cell>
          <cell r="E74">
            <v>0</v>
          </cell>
        </row>
        <row r="75">
          <cell r="B75" t="str">
            <v>FONDO DE ULTRACRECIMIENTO 2009</v>
          </cell>
          <cell r="C75">
            <v>176590.46</v>
          </cell>
          <cell r="D75">
            <v>176590.46</v>
          </cell>
          <cell r="E75">
            <v>0</v>
          </cell>
        </row>
        <row r="76">
          <cell r="B76" t="str">
            <v>FONDO DE DESARROLLO MPAL 2009</v>
          </cell>
          <cell r="C76">
            <v>0</v>
          </cell>
          <cell r="D76">
            <v>2520510.8599999989</v>
          </cell>
          <cell r="E76">
            <v>-2520510.8599999989</v>
          </cell>
        </row>
        <row r="77">
          <cell r="B77" t="str">
            <v>OBRAS P/COND. MPIOS 2009</v>
          </cell>
          <cell r="C77">
            <v>1500438.32</v>
          </cell>
          <cell r="D77">
            <v>1500438.32</v>
          </cell>
          <cell r="E77">
            <v>0</v>
          </cell>
        </row>
        <row r="78">
          <cell r="B78" t="str">
            <v>CONADE</v>
          </cell>
          <cell r="C78">
            <v>0</v>
          </cell>
          <cell r="D78">
            <v>8708280.6799999997</v>
          </cell>
          <cell r="E78">
            <v>-8708280.6799999997</v>
          </cell>
        </row>
        <row r="79">
          <cell r="B79" t="str">
            <v>FONDO METROPOLITANO</v>
          </cell>
          <cell r="C79">
            <v>4026184.24</v>
          </cell>
          <cell r="D79">
            <v>4026184.24</v>
          </cell>
          <cell r="E79">
            <v>0</v>
          </cell>
        </row>
        <row r="80">
          <cell r="B80" t="str">
            <v>D.S. ESPACIOS PUBLICOS 2009</v>
          </cell>
          <cell r="C80">
            <v>764196.2</v>
          </cell>
          <cell r="D80">
            <v>764196.2</v>
          </cell>
          <cell r="E80">
            <v>0</v>
          </cell>
        </row>
        <row r="81">
          <cell r="B81" t="str">
            <v>CENDIS</v>
          </cell>
          <cell r="C81">
            <v>0</v>
          </cell>
          <cell r="D81">
            <v>0</v>
          </cell>
          <cell r="E81">
            <v>0</v>
          </cell>
        </row>
        <row r="82">
          <cell r="B82" t="str">
            <v>FONDO METROPOLITANO 2009</v>
          </cell>
          <cell r="C82">
            <v>29002.76</v>
          </cell>
          <cell r="D82">
            <v>0</v>
          </cell>
          <cell r="E82">
            <v>29002.76</v>
          </cell>
        </row>
        <row r="83">
          <cell r="B83" t="str">
            <v>DESARROLLO MUNICIPAL 2010</v>
          </cell>
          <cell r="C83">
            <v>13645643.15</v>
          </cell>
          <cell r="D83">
            <v>16782683.27</v>
          </cell>
          <cell r="E83">
            <v>-3137040.1199999992</v>
          </cell>
        </row>
        <row r="84">
          <cell r="B84" t="str">
            <v>FONDO DE ULTRACRECIMIENTO 2010</v>
          </cell>
          <cell r="C84">
            <v>9709191.4299999997</v>
          </cell>
          <cell r="D84">
            <v>9709191.4199999999</v>
          </cell>
          <cell r="E84">
            <v>9.9999997764825821E-3</v>
          </cell>
        </row>
        <row r="85">
          <cell r="B85" t="str">
            <v>OBRAS P/ COND. DE MPIOS 2010</v>
          </cell>
          <cell r="C85">
            <v>5393541.4699999997</v>
          </cell>
          <cell r="D85">
            <v>5481959.3799999999</v>
          </cell>
          <cell r="E85">
            <v>-88417.910000000149</v>
          </cell>
        </row>
        <row r="86">
          <cell r="B86" t="str">
            <v>FONDOS DESCENTRALIZADOS 2010</v>
          </cell>
          <cell r="C86">
            <v>385272.94</v>
          </cell>
          <cell r="D86">
            <v>747378.03</v>
          </cell>
          <cell r="E86">
            <v>-362105.09</v>
          </cell>
        </row>
        <row r="87">
          <cell r="B87" t="str">
            <v>ESPACIOS PUBLICOS 2010</v>
          </cell>
          <cell r="C87">
            <v>5610022.6699999999</v>
          </cell>
          <cell r="D87">
            <v>6607203.0500000007</v>
          </cell>
          <cell r="E87">
            <v>-997180.38000000082</v>
          </cell>
        </row>
        <row r="88">
          <cell r="B88" t="str">
            <v>PROGRAMA HABITAT 2010</v>
          </cell>
          <cell r="C88">
            <v>1816183.6600000001</v>
          </cell>
          <cell r="D88">
            <v>1133262.48</v>
          </cell>
          <cell r="E88">
            <v>682921.18000000017</v>
          </cell>
        </row>
        <row r="89">
          <cell r="B89" t="str">
            <v>FONDEN</v>
          </cell>
          <cell r="C89">
            <v>6696236.4500000011</v>
          </cell>
          <cell r="D89">
            <v>0</v>
          </cell>
          <cell r="E89">
            <v>6696236.4500000011</v>
          </cell>
        </row>
        <row r="90">
          <cell r="B90" t="str">
            <v>FOPAM</v>
          </cell>
          <cell r="C90">
            <v>5748361.5800000001</v>
          </cell>
          <cell r="D90">
            <v>8105845.2899999991</v>
          </cell>
          <cell r="E90">
            <v>-2357483.709999999</v>
          </cell>
        </row>
        <row r="91">
          <cell r="B91" t="str">
            <v>CONAGUA</v>
          </cell>
          <cell r="C91">
            <v>19773183</v>
          </cell>
          <cell r="D91">
            <v>23575024.400000002</v>
          </cell>
          <cell r="E91">
            <v>-3801841.4000000022</v>
          </cell>
        </row>
        <row r="92">
          <cell r="B92" t="str">
            <v>CNA</v>
          </cell>
          <cell r="C92">
            <v>0</v>
          </cell>
          <cell r="D92">
            <v>41811018.960000001</v>
          </cell>
          <cell r="E92">
            <v>-41811018.960000001</v>
          </cell>
        </row>
        <row r="93">
          <cell r="B93" t="str">
            <v>FOPAM</v>
          </cell>
          <cell r="C93">
            <v>0</v>
          </cell>
          <cell r="D93">
            <v>7888045.4099999992</v>
          </cell>
          <cell r="E93">
            <v>-7888045.4099999992</v>
          </cell>
        </row>
        <row r="94">
          <cell r="B94" t="str">
            <v>ESPACIOS PUBLICOS 2011</v>
          </cell>
          <cell r="C94">
            <v>0</v>
          </cell>
          <cell r="D94">
            <v>10333443.870000001</v>
          </cell>
          <cell r="E94">
            <v>-10333443.870000001</v>
          </cell>
        </row>
        <row r="95">
          <cell r="B95" t="str">
            <v>CONADE</v>
          </cell>
          <cell r="C95">
            <v>0</v>
          </cell>
          <cell r="D95">
            <v>5464490.29</v>
          </cell>
          <cell r="E95">
            <v>-5464490.29</v>
          </cell>
        </row>
        <row r="96">
          <cell r="B96" t="str">
            <v>FONDO METROPOLITANO 2011</v>
          </cell>
          <cell r="C96">
            <v>0</v>
          </cell>
          <cell r="D96">
            <v>68762118.229999989</v>
          </cell>
          <cell r="E96">
            <v>-68762118.229999989</v>
          </cell>
        </row>
        <row r="97">
          <cell r="B97" t="str">
            <v>HABITAT 2011</v>
          </cell>
          <cell r="C97">
            <v>0</v>
          </cell>
          <cell r="D97">
            <v>4575330</v>
          </cell>
          <cell r="E97">
            <v>-4575330</v>
          </cell>
        </row>
        <row r="98">
          <cell r="B98" t="str">
            <v>APLICACION DE OTRAS APORTACION</v>
          </cell>
          <cell r="C98">
            <v>75274048.329999998</v>
          </cell>
          <cell r="D98">
            <v>231929954.84</v>
          </cell>
          <cell r="E98">
            <v>-156655906.50999999</v>
          </cell>
        </row>
        <row r="99">
          <cell r="B99" t="str">
            <v>CONCEPTO</v>
          </cell>
          <cell r="C99" t="str">
            <v>PRESUPUESTO 2011</v>
          </cell>
          <cell r="D99" t="str">
            <v>PRESUPUESTO MODIFICADO</v>
          </cell>
          <cell r="E99" t="str">
            <v>VARIACION</v>
          </cell>
        </row>
        <row r="100">
          <cell r="B100" t="str">
            <v>EQUIPAMIENTO</v>
          </cell>
          <cell r="C100">
            <v>0</v>
          </cell>
          <cell r="D100">
            <v>338100</v>
          </cell>
          <cell r="E100">
            <v>-338100</v>
          </cell>
        </row>
        <row r="101">
          <cell r="B101" t="str">
            <v>INFRAESTRUCTURA</v>
          </cell>
          <cell r="C101">
            <v>1820000</v>
          </cell>
          <cell r="D101">
            <v>1820000</v>
          </cell>
          <cell r="E101">
            <v>0</v>
          </cell>
        </row>
        <row r="102">
          <cell r="B102" t="str">
            <v>SUELDOS</v>
          </cell>
          <cell r="C102">
            <v>0</v>
          </cell>
          <cell r="D102">
            <v>0</v>
          </cell>
          <cell r="E102">
            <v>0</v>
          </cell>
        </row>
        <row r="103">
          <cell r="B103" t="str">
            <v>GASTOS FINANCIEROS</v>
          </cell>
          <cell r="C103">
            <v>0</v>
          </cell>
          <cell r="D103">
            <v>1224.7</v>
          </cell>
          <cell r="E103">
            <v>-1224.7</v>
          </cell>
        </row>
        <row r="104">
          <cell r="B104" t="str">
            <v>PROFESIONALIZACION 2009</v>
          </cell>
          <cell r="C104">
            <v>0</v>
          </cell>
          <cell r="D104">
            <v>0</v>
          </cell>
          <cell r="E104">
            <v>0</v>
          </cell>
        </row>
        <row r="105">
          <cell r="B105" t="str">
            <v>SUELDOS 2009</v>
          </cell>
          <cell r="C105">
            <v>0</v>
          </cell>
          <cell r="D105">
            <v>0</v>
          </cell>
          <cell r="E105">
            <v>0</v>
          </cell>
        </row>
        <row r="106">
          <cell r="B106" t="str">
            <v>PROFESIONALIZACION 2010</v>
          </cell>
          <cell r="C106">
            <v>0</v>
          </cell>
          <cell r="D106">
            <v>0</v>
          </cell>
          <cell r="E106">
            <v>0</v>
          </cell>
        </row>
        <row r="107">
          <cell r="B107" t="str">
            <v>EQUIPAMIENTO 2010</v>
          </cell>
          <cell r="C107">
            <v>0</v>
          </cell>
          <cell r="D107">
            <v>623500</v>
          </cell>
          <cell r="E107">
            <v>-623500</v>
          </cell>
        </row>
        <row r="108">
          <cell r="B108" t="str">
            <v>OPERACION POLICIAL 2010</v>
          </cell>
          <cell r="C108">
            <v>0</v>
          </cell>
          <cell r="D108">
            <v>0</v>
          </cell>
          <cell r="E108">
            <v>0</v>
          </cell>
        </row>
        <row r="109">
          <cell r="B109" t="str">
            <v>SUELDOS 2010</v>
          </cell>
          <cell r="C109">
            <v>0</v>
          </cell>
          <cell r="D109">
            <v>1738141</v>
          </cell>
          <cell r="E109">
            <v>-1738141</v>
          </cell>
        </row>
        <row r="110">
          <cell r="B110" t="str">
            <v>EQUIPAMIENTO 2011</v>
          </cell>
          <cell r="C110">
            <v>0</v>
          </cell>
          <cell r="D110">
            <v>2776556</v>
          </cell>
          <cell r="E110">
            <v>-2776556</v>
          </cell>
        </row>
        <row r="111">
          <cell r="B111" t="str">
            <v>OPERACIÓN POLICIAL 2011</v>
          </cell>
          <cell r="C111">
            <v>0</v>
          </cell>
          <cell r="D111">
            <v>5825644</v>
          </cell>
          <cell r="E111">
            <v>-5825644</v>
          </cell>
        </row>
        <row r="112">
          <cell r="B112" t="str">
            <v>CAPACITACION 2011</v>
          </cell>
          <cell r="C112">
            <v>0</v>
          </cell>
          <cell r="D112">
            <v>397800</v>
          </cell>
          <cell r="E112">
            <v>-397800</v>
          </cell>
        </row>
        <row r="113">
          <cell r="B113" t="str">
            <v>PREVENCION DEL DELITO</v>
          </cell>
          <cell r="C113">
            <v>0</v>
          </cell>
          <cell r="D113">
            <v>1000000</v>
          </cell>
          <cell r="E113">
            <v>-1000000</v>
          </cell>
        </row>
        <row r="114">
          <cell r="B114" t="str">
            <v>MEJORA DE CONDICIONES LABORALES</v>
          </cell>
          <cell r="C114">
            <v>0</v>
          </cell>
          <cell r="D114">
            <v>3000000</v>
          </cell>
          <cell r="E114">
            <v>-3000000</v>
          </cell>
        </row>
        <row r="115">
          <cell r="B115" t="str">
            <v>SUBSEMUN</v>
          </cell>
          <cell r="C115">
            <v>1820000</v>
          </cell>
          <cell r="D115">
            <v>17520965.699999999</v>
          </cell>
          <cell r="E115">
            <v>-15700965.699999999</v>
          </cell>
        </row>
        <row r="116">
          <cell r="B116" t="str">
            <v>ADMON. DE LA FUNCION PUBLICA</v>
          </cell>
          <cell r="C116">
            <v>3354054</v>
          </cell>
          <cell r="D116">
            <v>3098444</v>
          </cell>
          <cell r="E116">
            <v>255610</v>
          </cell>
        </row>
        <row r="117">
          <cell r="B117" t="str">
            <v>GASTOS ADMINISTRATIVOS</v>
          </cell>
          <cell r="C117">
            <v>358022.8</v>
          </cell>
          <cell r="D117">
            <v>343577.94999999995</v>
          </cell>
          <cell r="E117">
            <v>14444.850000000035</v>
          </cell>
        </row>
        <row r="118">
          <cell r="B118" t="str">
            <v>GASTOS DE LA FUNCION</v>
          </cell>
          <cell r="C118">
            <v>48500</v>
          </cell>
          <cell r="D118">
            <v>130747.1</v>
          </cell>
          <cell r="E118">
            <v>-82247.100000000006</v>
          </cell>
        </row>
        <row r="119">
          <cell r="B119" t="str">
            <v>MANTENIMIENTOS</v>
          </cell>
          <cell r="C119">
            <v>135730</v>
          </cell>
          <cell r="D119">
            <v>156966.32</v>
          </cell>
          <cell r="E119">
            <v>-21236.320000000007</v>
          </cell>
        </row>
        <row r="120">
          <cell r="B120" t="str">
            <v>ADQUISICIONES</v>
          </cell>
          <cell r="C120">
            <v>25000</v>
          </cell>
          <cell r="D120">
            <v>98210.39</v>
          </cell>
          <cell r="E120">
            <v>-73210.39</v>
          </cell>
        </row>
        <row r="121">
          <cell r="B121" t="str">
            <v>EVENTOS</v>
          </cell>
          <cell r="C121">
            <v>108000</v>
          </cell>
          <cell r="D121">
            <v>711880.1399999999</v>
          </cell>
          <cell r="E121">
            <v>-603880.1399999999</v>
          </cell>
        </row>
        <row r="122">
          <cell r="B122" t="str">
            <v>INSTITUTO DE LA MUJER</v>
          </cell>
          <cell r="C122">
            <v>4029306.8</v>
          </cell>
          <cell r="D122">
            <v>4539825.9000000004</v>
          </cell>
          <cell r="E122">
            <v>-510519.09999999986</v>
          </cell>
        </row>
      </sheetData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47"/>
  <sheetViews>
    <sheetView view="pageBreakPreview" topLeftCell="A116" zoomScaleNormal="80" zoomScaleSheetLayoutView="100" workbookViewId="0">
      <selection activeCell="A6" sqref="A6"/>
    </sheetView>
  </sheetViews>
  <sheetFormatPr baseColWidth="10" defaultColWidth="16" defaultRowHeight="12.75"/>
  <cols>
    <col min="1" max="1" width="57.5703125" style="163" customWidth="1"/>
    <col min="2" max="3" width="13.7109375" bestFit="1" customWidth="1"/>
    <col min="4" max="4" width="12.7109375" bestFit="1" customWidth="1"/>
    <col min="5" max="9" width="12.7109375" style="30" bestFit="1" customWidth="1"/>
    <col min="10" max="10" width="12.85546875" style="30" bestFit="1" customWidth="1"/>
    <col min="11" max="13" width="12.7109375" style="30" bestFit="1" customWidth="1"/>
    <col min="14" max="14" width="13.7109375" bestFit="1" customWidth="1"/>
  </cols>
  <sheetData>
    <row r="1" spans="1:69" ht="15.75">
      <c r="A1" s="336" t="s">
        <v>366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69">
      <c r="A2" s="335" t="s">
        <v>1131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</row>
    <row r="3" spans="1:69">
      <c r="A3" s="335" t="s">
        <v>207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</row>
    <row r="4" spans="1:69" ht="13.5" thickBot="1">
      <c r="A4" s="184"/>
      <c r="B4" s="99"/>
      <c r="C4" s="99"/>
      <c r="D4" s="99"/>
      <c r="E4" s="102"/>
      <c r="F4" s="102"/>
      <c r="G4" s="102"/>
      <c r="H4" s="102"/>
      <c r="I4" s="102"/>
      <c r="J4" s="102"/>
      <c r="K4" s="102"/>
      <c r="L4" s="102"/>
      <c r="M4" s="102"/>
      <c r="N4" s="99"/>
    </row>
    <row r="5" spans="1:69" s="391" customFormat="1" ht="26.25" customHeight="1" thickBot="1">
      <c r="A5" s="431" t="s">
        <v>0</v>
      </c>
      <c r="B5" s="431" t="s">
        <v>6</v>
      </c>
      <c r="C5" s="431" t="s">
        <v>7</v>
      </c>
      <c r="D5" s="431" t="s">
        <v>8</v>
      </c>
      <c r="E5" s="433" t="s">
        <v>9</v>
      </c>
      <c r="F5" s="433" t="s">
        <v>10</v>
      </c>
      <c r="G5" s="433" t="s">
        <v>11</v>
      </c>
      <c r="H5" s="433" t="s">
        <v>12</v>
      </c>
      <c r="I5" s="433" t="s">
        <v>13</v>
      </c>
      <c r="J5" s="433" t="s">
        <v>77</v>
      </c>
      <c r="K5" s="433" t="s">
        <v>14</v>
      </c>
      <c r="L5" s="433" t="s">
        <v>78</v>
      </c>
      <c r="M5" s="433" t="s">
        <v>15</v>
      </c>
      <c r="N5" s="431" t="s">
        <v>79</v>
      </c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0"/>
      <c r="BI5" s="390"/>
      <c r="BJ5" s="390"/>
      <c r="BK5" s="390"/>
      <c r="BL5" s="390"/>
      <c r="BM5" s="390"/>
      <c r="BN5" s="390"/>
      <c r="BO5" s="390"/>
      <c r="BP5" s="390"/>
      <c r="BQ5" s="390"/>
    </row>
    <row r="6" spans="1:69">
      <c r="A6" s="268" t="s">
        <v>18</v>
      </c>
      <c r="B6" s="362">
        <f>SUM(B7:B10)</f>
        <v>62432000</v>
      </c>
      <c r="C6" s="363">
        <f t="shared" ref="C6:N6" si="0">SUM(C7:C10)</f>
        <v>19934000</v>
      </c>
      <c r="D6" s="362">
        <f t="shared" si="0"/>
        <v>14932000</v>
      </c>
      <c r="E6" s="363">
        <f t="shared" si="0"/>
        <v>10442000</v>
      </c>
      <c r="F6" s="362">
        <f t="shared" si="0"/>
        <v>10237000</v>
      </c>
      <c r="G6" s="363">
        <f t="shared" si="0"/>
        <v>10237000</v>
      </c>
      <c r="H6" s="362">
        <f t="shared" si="0"/>
        <v>10231000</v>
      </c>
      <c r="I6" s="363">
        <f t="shared" si="0"/>
        <v>10250000</v>
      </c>
      <c r="J6" s="364">
        <f t="shared" si="0"/>
        <v>10239000</v>
      </c>
      <c r="K6" s="362">
        <f t="shared" si="0"/>
        <v>10235000</v>
      </c>
      <c r="L6" s="365">
        <f t="shared" si="0"/>
        <v>10237000</v>
      </c>
      <c r="M6" s="365">
        <f t="shared" si="0"/>
        <v>10099000</v>
      </c>
      <c r="N6" s="263">
        <f t="shared" si="0"/>
        <v>189505000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69">
      <c r="A7" s="366" t="s">
        <v>27</v>
      </c>
      <c r="B7" s="24">
        <v>55000000</v>
      </c>
      <c r="C7" s="155">
        <v>12500000</v>
      </c>
      <c r="D7" s="24">
        <v>7500000</v>
      </c>
      <c r="E7" s="155">
        <v>3000000</v>
      </c>
      <c r="F7" s="24">
        <v>2800000</v>
      </c>
      <c r="G7" s="155">
        <v>2800000</v>
      </c>
      <c r="H7" s="24">
        <v>2800000</v>
      </c>
      <c r="I7" s="155">
        <v>2800000</v>
      </c>
      <c r="J7" s="188">
        <v>2800000</v>
      </c>
      <c r="K7" s="24">
        <v>2800000</v>
      </c>
      <c r="L7" s="159">
        <v>2800000</v>
      </c>
      <c r="M7" s="155">
        <v>2665000</v>
      </c>
      <c r="N7" s="367">
        <f t="shared" ref="N7:N12" si="1">SUM(B7:M7)</f>
        <v>100265000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>
      <c r="A8" s="366" t="s">
        <v>170</v>
      </c>
      <c r="B8" s="24">
        <v>7430000</v>
      </c>
      <c r="C8" s="24">
        <v>7430000</v>
      </c>
      <c r="D8" s="24">
        <v>7430000</v>
      </c>
      <c r="E8" s="24">
        <v>7430000</v>
      </c>
      <c r="F8" s="24">
        <v>7430000</v>
      </c>
      <c r="G8" s="24">
        <v>7430000</v>
      </c>
      <c r="H8" s="24">
        <v>7430000</v>
      </c>
      <c r="I8" s="188">
        <v>7430000</v>
      </c>
      <c r="J8" s="188">
        <v>7430000</v>
      </c>
      <c r="K8" s="24">
        <v>7430000</v>
      </c>
      <c r="L8" s="159">
        <v>7430000</v>
      </c>
      <c r="M8" s="159">
        <v>7428000</v>
      </c>
      <c r="N8" s="367">
        <f t="shared" si="1"/>
        <v>89158000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>
      <c r="A9" s="366" t="s">
        <v>171</v>
      </c>
      <c r="B9" s="24">
        <v>2000</v>
      </c>
      <c r="C9" s="24">
        <v>4000</v>
      </c>
      <c r="D9" s="24">
        <v>2000</v>
      </c>
      <c r="E9" s="24">
        <v>12000</v>
      </c>
      <c r="F9" s="24">
        <v>7000</v>
      </c>
      <c r="G9" s="24">
        <v>7000</v>
      </c>
      <c r="H9" s="24">
        <v>1000</v>
      </c>
      <c r="I9" s="188">
        <v>20000</v>
      </c>
      <c r="J9" s="188">
        <v>9000</v>
      </c>
      <c r="K9" s="24">
        <v>5000</v>
      </c>
      <c r="L9" s="159">
        <v>7000</v>
      </c>
      <c r="M9" s="159">
        <v>6000</v>
      </c>
      <c r="N9" s="367">
        <f t="shared" si="1"/>
        <v>82000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>
      <c r="A10" s="366" t="s">
        <v>172</v>
      </c>
      <c r="B10" s="24"/>
      <c r="C10" s="155"/>
      <c r="D10" s="24"/>
      <c r="E10" s="155"/>
      <c r="F10" s="24"/>
      <c r="G10" s="155"/>
      <c r="H10" s="24"/>
      <c r="I10" s="155"/>
      <c r="J10" s="188"/>
      <c r="K10" s="24"/>
      <c r="L10" s="159"/>
      <c r="M10" s="155"/>
      <c r="N10" s="367">
        <f t="shared" si="1"/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>
      <c r="A11" s="366" t="s">
        <v>149</v>
      </c>
      <c r="B11" s="24"/>
      <c r="C11" s="155"/>
      <c r="D11" s="24"/>
      <c r="E11" s="155"/>
      <c r="F11" s="24"/>
      <c r="G11" s="155"/>
      <c r="H11" s="24"/>
      <c r="I11" s="155"/>
      <c r="J11" s="188"/>
      <c r="K11" s="24"/>
      <c r="L11" s="159"/>
      <c r="M11" s="159"/>
      <c r="N11" s="367">
        <f t="shared" si="1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>
      <c r="A12" s="366" t="s">
        <v>150</v>
      </c>
      <c r="B12" s="24"/>
      <c r="C12" s="155"/>
      <c r="D12" s="24"/>
      <c r="E12" s="155"/>
      <c r="F12" s="24"/>
      <c r="G12" s="155"/>
      <c r="H12" s="24"/>
      <c r="I12" s="155"/>
      <c r="J12" s="188"/>
      <c r="K12" s="24"/>
      <c r="L12" s="159"/>
      <c r="M12" s="159"/>
      <c r="N12" s="367">
        <f t="shared" si="1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>
      <c r="A13" s="366"/>
      <c r="B13" s="24"/>
      <c r="C13" s="155"/>
      <c r="D13" s="24"/>
      <c r="E13" s="155"/>
      <c r="F13" s="24"/>
      <c r="G13" s="155"/>
      <c r="H13" s="24"/>
      <c r="I13" s="155"/>
      <c r="J13" s="188"/>
      <c r="K13" s="24"/>
      <c r="L13" s="159"/>
      <c r="M13" s="159"/>
      <c r="N13" s="36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>
      <c r="A14" s="368" t="s">
        <v>19</v>
      </c>
      <c r="B14" s="22">
        <f t="shared" ref="B14:M14" si="2">SUM(B16:B26)</f>
        <v>3408904</v>
      </c>
      <c r="C14" s="90">
        <f t="shared" si="2"/>
        <v>3235904</v>
      </c>
      <c r="D14" s="22">
        <f t="shared" si="2"/>
        <v>5368904</v>
      </c>
      <c r="E14" s="90">
        <f t="shared" si="2"/>
        <v>3272904</v>
      </c>
      <c r="F14" s="22">
        <f t="shared" si="2"/>
        <v>3310904</v>
      </c>
      <c r="G14" s="90">
        <f t="shared" si="2"/>
        <v>3473904</v>
      </c>
      <c r="H14" s="22">
        <f t="shared" si="2"/>
        <v>3398904</v>
      </c>
      <c r="I14" s="90">
        <f t="shared" si="2"/>
        <v>3136904</v>
      </c>
      <c r="J14" s="243">
        <f t="shared" si="2"/>
        <v>3488904</v>
      </c>
      <c r="K14" s="22">
        <f t="shared" si="2"/>
        <v>3514904</v>
      </c>
      <c r="L14" s="160">
        <f t="shared" si="2"/>
        <v>3413904</v>
      </c>
      <c r="M14" s="160">
        <f t="shared" si="2"/>
        <v>3263909.3200000003</v>
      </c>
      <c r="N14" s="369">
        <f>SUM(N15:N26)</f>
        <v>42288853.32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>
      <c r="A15" s="366" t="s">
        <v>174</v>
      </c>
      <c r="B15" s="24"/>
      <c r="C15" s="24"/>
      <c r="D15" s="24"/>
      <c r="E15" s="24"/>
      <c r="F15" s="24"/>
      <c r="G15" s="24"/>
      <c r="H15" s="24"/>
      <c r="I15" s="188"/>
      <c r="J15" s="188"/>
      <c r="K15" s="24"/>
      <c r="L15" s="159"/>
      <c r="M15" s="159"/>
      <c r="N15" s="367">
        <f t="shared" ref="N15:N26" si="3">SUM(B15:M15)</f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>
      <c r="A16" s="366" t="s">
        <v>175</v>
      </c>
      <c r="B16" s="24">
        <v>2000</v>
      </c>
      <c r="C16" s="155">
        <v>8000</v>
      </c>
      <c r="D16" s="24">
        <v>180000</v>
      </c>
      <c r="E16" s="155">
        <v>71000</v>
      </c>
      <c r="F16" s="24">
        <v>59000</v>
      </c>
      <c r="G16" s="155">
        <v>166000</v>
      </c>
      <c r="H16" s="24">
        <v>56000</v>
      </c>
      <c r="I16" s="155">
        <v>43000</v>
      </c>
      <c r="J16" s="188">
        <v>43000</v>
      </c>
      <c r="K16" s="24">
        <v>58000</v>
      </c>
      <c r="L16" s="159">
        <v>26000</v>
      </c>
      <c r="M16" s="155">
        <v>26000</v>
      </c>
      <c r="N16" s="367">
        <f>SUM(B16:M16)</f>
        <v>738000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>
      <c r="A17" s="366" t="s">
        <v>176</v>
      </c>
      <c r="B17" s="24">
        <v>2368904</v>
      </c>
      <c r="C17" s="24">
        <v>2368904</v>
      </c>
      <c r="D17" s="24">
        <v>2368904</v>
      </c>
      <c r="E17" s="24">
        <v>2368904</v>
      </c>
      <c r="F17" s="24">
        <v>2368904</v>
      </c>
      <c r="G17" s="24">
        <v>2368904</v>
      </c>
      <c r="H17" s="24">
        <v>2368904</v>
      </c>
      <c r="I17" s="188">
        <v>2368904</v>
      </c>
      <c r="J17" s="188">
        <v>2368904</v>
      </c>
      <c r="K17" s="24">
        <v>2368904</v>
      </c>
      <c r="L17" s="159">
        <v>2368904</v>
      </c>
      <c r="M17" s="159">
        <v>2368909.3200000003</v>
      </c>
      <c r="N17" s="367">
        <f>SUM(B17:M17)</f>
        <v>28426853.32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>
      <c r="A18" s="366" t="s">
        <v>275</v>
      </c>
      <c r="B18" s="24">
        <v>46000</v>
      </c>
      <c r="C18" s="155">
        <v>88000</v>
      </c>
      <c r="D18" s="24">
        <v>80000</v>
      </c>
      <c r="E18" s="155">
        <v>36000</v>
      </c>
      <c r="F18" s="24">
        <v>37000</v>
      </c>
      <c r="G18" s="155">
        <v>114000</v>
      </c>
      <c r="H18" s="24">
        <v>49000</v>
      </c>
      <c r="I18" s="155">
        <v>124000</v>
      </c>
      <c r="J18" s="188">
        <v>159000</v>
      </c>
      <c r="K18" s="24">
        <v>79000</v>
      </c>
      <c r="L18" s="159">
        <v>26000</v>
      </c>
      <c r="M18" s="155">
        <v>26000</v>
      </c>
      <c r="N18" s="367">
        <f>SUM(B18:M18)</f>
        <v>864000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>
      <c r="A19" s="366" t="s">
        <v>274</v>
      </c>
      <c r="B19" s="24">
        <v>6000</v>
      </c>
      <c r="C19" s="155">
        <v>35000</v>
      </c>
      <c r="D19" s="24">
        <v>1480000</v>
      </c>
      <c r="E19" s="155">
        <v>450000</v>
      </c>
      <c r="F19" s="24">
        <v>286000</v>
      </c>
      <c r="G19" s="155">
        <v>332000</v>
      </c>
      <c r="H19" s="24">
        <v>184000</v>
      </c>
      <c r="I19" s="155">
        <v>118000</v>
      </c>
      <c r="J19" s="188">
        <v>87000</v>
      </c>
      <c r="K19" s="24">
        <v>131000</v>
      </c>
      <c r="L19" s="159">
        <v>63000</v>
      </c>
      <c r="M19" s="155">
        <v>146000</v>
      </c>
      <c r="N19" s="367">
        <f>SUM(B19:M19)</f>
        <v>3318000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>
      <c r="A20" s="366" t="s">
        <v>179</v>
      </c>
      <c r="B20" s="24"/>
      <c r="C20" s="155"/>
      <c r="D20" s="24"/>
      <c r="E20" s="155"/>
      <c r="F20" s="24"/>
      <c r="G20" s="155"/>
      <c r="H20" s="24"/>
      <c r="I20" s="155"/>
      <c r="J20" s="188"/>
      <c r="K20" s="24"/>
      <c r="L20" s="159"/>
      <c r="M20" s="155"/>
      <c r="N20" s="367">
        <f t="shared" si="3"/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>
      <c r="A21" s="366" t="s">
        <v>273</v>
      </c>
      <c r="B21" s="24">
        <v>210000</v>
      </c>
      <c r="C21" s="155">
        <v>233000</v>
      </c>
      <c r="D21" s="24">
        <v>250000</v>
      </c>
      <c r="E21" s="24">
        <v>188000</v>
      </c>
      <c r="F21" s="155">
        <v>258000</v>
      </c>
      <c r="G21" s="24">
        <v>209000</v>
      </c>
      <c r="H21" s="24">
        <v>157000</v>
      </c>
      <c r="I21" s="155">
        <v>226000</v>
      </c>
      <c r="J21" s="188">
        <v>154000</v>
      </c>
      <c r="K21" s="24">
        <v>205000</v>
      </c>
      <c r="L21" s="159">
        <v>334000</v>
      </c>
      <c r="M21" s="159">
        <v>209000</v>
      </c>
      <c r="N21" s="367">
        <f t="shared" si="3"/>
        <v>2633000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>
      <c r="A22" s="366" t="s">
        <v>180</v>
      </c>
      <c r="B22" s="24"/>
      <c r="C22" s="155"/>
      <c r="D22" s="24"/>
      <c r="E22" s="155"/>
      <c r="F22" s="24"/>
      <c r="G22" s="155"/>
      <c r="H22" s="24"/>
      <c r="I22" s="155"/>
      <c r="J22" s="188"/>
      <c r="K22" s="24"/>
      <c r="L22" s="159"/>
      <c r="M22" s="159"/>
      <c r="N22" s="367">
        <f t="shared" si="3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>
      <c r="A23" s="366" t="s">
        <v>272</v>
      </c>
      <c r="B23" s="24"/>
      <c r="C23" s="155"/>
      <c r="D23" s="24"/>
      <c r="E23" s="155"/>
      <c r="F23" s="24"/>
      <c r="G23" s="155"/>
      <c r="H23" s="24"/>
      <c r="I23" s="155"/>
      <c r="J23" s="188"/>
      <c r="K23" s="24"/>
      <c r="L23" s="159"/>
      <c r="M23" s="159"/>
      <c r="N23" s="367">
        <f t="shared" si="3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>
      <c r="A24" s="366" t="s">
        <v>182</v>
      </c>
      <c r="B24" s="24">
        <v>126000</v>
      </c>
      <c r="C24" s="155">
        <v>43000</v>
      </c>
      <c r="D24" s="24">
        <v>68000</v>
      </c>
      <c r="E24" s="155">
        <v>41000</v>
      </c>
      <c r="F24" s="24">
        <v>5000</v>
      </c>
      <c r="G24" s="155">
        <v>44000</v>
      </c>
      <c r="H24" s="24">
        <v>276000</v>
      </c>
      <c r="I24" s="155">
        <v>41000</v>
      </c>
      <c r="J24" s="188">
        <v>79000</v>
      </c>
      <c r="K24" s="24">
        <v>21000</v>
      </c>
      <c r="L24" s="159">
        <v>42000</v>
      </c>
      <c r="M24" s="155">
        <v>18000</v>
      </c>
      <c r="N24" s="367">
        <f t="shared" si="3"/>
        <v>804000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>
      <c r="A25" s="366" t="s">
        <v>28</v>
      </c>
      <c r="B25" s="24">
        <v>650000</v>
      </c>
      <c r="C25" s="155">
        <v>460000</v>
      </c>
      <c r="D25" s="24">
        <v>942000</v>
      </c>
      <c r="E25" s="155">
        <v>118000</v>
      </c>
      <c r="F25" s="24">
        <v>297000</v>
      </c>
      <c r="G25" s="155">
        <v>240000</v>
      </c>
      <c r="H25" s="24">
        <v>308000</v>
      </c>
      <c r="I25" s="155">
        <v>216000</v>
      </c>
      <c r="J25" s="188">
        <v>598000</v>
      </c>
      <c r="K25" s="24">
        <v>652000</v>
      </c>
      <c r="L25" s="226">
        <v>554000</v>
      </c>
      <c r="M25" s="172">
        <v>470000</v>
      </c>
      <c r="N25" s="367">
        <f t="shared" si="3"/>
        <v>5505000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>
      <c r="A26" s="366" t="s">
        <v>150</v>
      </c>
      <c r="B26" s="24"/>
      <c r="C26" s="155"/>
      <c r="D26" s="24"/>
      <c r="E26" s="155"/>
      <c r="F26" s="24"/>
      <c r="G26" s="155"/>
      <c r="H26" s="24"/>
      <c r="I26" s="155"/>
      <c r="J26" s="188"/>
      <c r="K26" s="24"/>
      <c r="L26" s="159"/>
      <c r="M26" s="159"/>
      <c r="N26" s="367">
        <f t="shared" si="3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>
      <c r="A27" s="366"/>
      <c r="B27" s="24"/>
      <c r="C27" s="155"/>
      <c r="D27" s="24"/>
      <c r="E27" s="155"/>
      <c r="F27" s="24"/>
      <c r="G27" s="155"/>
      <c r="H27" s="24"/>
      <c r="I27" s="155"/>
      <c r="J27" s="188"/>
      <c r="K27" s="24"/>
      <c r="L27" s="159"/>
      <c r="M27" s="159"/>
      <c r="N27" s="367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ht="38.25">
      <c r="A28" s="370" t="s">
        <v>289</v>
      </c>
      <c r="B28" s="22">
        <f>SUM(B29:B31)</f>
        <v>0</v>
      </c>
      <c r="C28" s="90">
        <f t="shared" ref="C28:M28" si="4">SUM(C29:C31)</f>
        <v>0</v>
      </c>
      <c r="D28" s="22">
        <f t="shared" si="4"/>
        <v>0</v>
      </c>
      <c r="E28" s="90">
        <f t="shared" si="4"/>
        <v>0</v>
      </c>
      <c r="F28" s="22">
        <f t="shared" si="4"/>
        <v>0</v>
      </c>
      <c r="G28" s="90">
        <f t="shared" si="4"/>
        <v>0</v>
      </c>
      <c r="H28" s="22">
        <f t="shared" si="4"/>
        <v>0</v>
      </c>
      <c r="I28" s="90">
        <f t="shared" si="4"/>
        <v>0</v>
      </c>
      <c r="J28" s="243">
        <f t="shared" si="4"/>
        <v>0</v>
      </c>
      <c r="K28" s="22">
        <f t="shared" si="4"/>
        <v>0</v>
      </c>
      <c r="L28" s="160">
        <f t="shared" si="4"/>
        <v>0</v>
      </c>
      <c r="M28" s="160">
        <f t="shared" si="4"/>
        <v>0</v>
      </c>
      <c r="N28" s="369">
        <f>SUM(N29:N31)</f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>
      <c r="A29" s="371" t="s">
        <v>290</v>
      </c>
      <c r="B29" s="24"/>
      <c r="C29" s="155"/>
      <c r="D29" s="24"/>
      <c r="E29" s="155"/>
      <c r="F29" s="24"/>
      <c r="G29" s="155"/>
      <c r="H29" s="24"/>
      <c r="I29" s="155"/>
      <c r="J29" s="188"/>
      <c r="K29" s="24"/>
      <c r="L29" s="159"/>
      <c r="M29" s="159"/>
      <c r="N29" s="367">
        <f>SUM(B29:M29)</f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>
      <c r="A30" s="371" t="s">
        <v>334</v>
      </c>
      <c r="B30" s="24"/>
      <c r="C30" s="155"/>
      <c r="D30" s="24"/>
      <c r="E30" s="155"/>
      <c r="F30" s="24"/>
      <c r="G30" s="155"/>
      <c r="H30" s="24"/>
      <c r="I30" s="155"/>
      <c r="J30" s="188"/>
      <c r="K30" s="24"/>
      <c r="L30" s="159"/>
      <c r="M30" s="159"/>
      <c r="N30" s="367">
        <f>SUM(B30:M30)</f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>
      <c r="A31" s="371" t="s">
        <v>291</v>
      </c>
      <c r="B31" s="24"/>
      <c r="C31" s="155"/>
      <c r="D31" s="24"/>
      <c r="E31" s="155"/>
      <c r="F31" s="24"/>
      <c r="G31" s="155"/>
      <c r="H31" s="24"/>
      <c r="I31" s="155"/>
      <c r="J31" s="188"/>
      <c r="K31" s="24"/>
      <c r="L31" s="159"/>
      <c r="M31" s="159"/>
      <c r="N31" s="367">
        <f>SUM(B31:M31)</f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>
      <c r="A32" s="366"/>
      <c r="B32" s="24"/>
      <c r="C32" s="155"/>
      <c r="D32" s="24"/>
      <c r="E32" s="155"/>
      <c r="F32" s="24"/>
      <c r="G32" s="155"/>
      <c r="H32" s="24"/>
      <c r="I32" s="155"/>
      <c r="J32" s="188"/>
      <c r="K32" s="24"/>
      <c r="L32" s="159"/>
      <c r="M32" s="159"/>
      <c r="N32" s="36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>
      <c r="A33" s="271" t="s">
        <v>20</v>
      </c>
      <c r="B33" s="22">
        <f>SUM(B34:B44)</f>
        <v>2000000</v>
      </c>
      <c r="C33" s="90">
        <f t="shared" ref="C33:M33" si="5">SUM(C34:C44)</f>
        <v>298000</v>
      </c>
      <c r="D33" s="22">
        <f t="shared" si="5"/>
        <v>428000</v>
      </c>
      <c r="E33" s="90">
        <f t="shared" si="5"/>
        <v>982000</v>
      </c>
      <c r="F33" s="22">
        <f t="shared" si="5"/>
        <v>487000</v>
      </c>
      <c r="G33" s="90">
        <f t="shared" si="5"/>
        <v>440000</v>
      </c>
      <c r="H33" s="22">
        <f t="shared" si="5"/>
        <v>424000</v>
      </c>
      <c r="I33" s="90">
        <f t="shared" si="5"/>
        <v>492000</v>
      </c>
      <c r="J33" s="243">
        <f t="shared" si="5"/>
        <v>210000</v>
      </c>
      <c r="K33" s="22">
        <f t="shared" si="5"/>
        <v>158000</v>
      </c>
      <c r="L33" s="160">
        <f t="shared" si="5"/>
        <v>606000</v>
      </c>
      <c r="M33" s="160">
        <f t="shared" si="5"/>
        <v>526000</v>
      </c>
      <c r="N33" s="369">
        <f>SUM(N34:N44)</f>
        <v>7051000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>
      <c r="A34" s="366" t="s">
        <v>35</v>
      </c>
      <c r="B34" s="24">
        <v>1782000</v>
      </c>
      <c r="C34" s="155">
        <v>24000</v>
      </c>
      <c r="D34" s="24">
        <v>23000</v>
      </c>
      <c r="E34" s="155">
        <v>40000</v>
      </c>
      <c r="F34" s="24">
        <v>28000</v>
      </c>
      <c r="G34" s="155">
        <v>42000</v>
      </c>
      <c r="H34" s="24">
        <v>32000</v>
      </c>
      <c r="I34" s="155">
        <v>45000</v>
      </c>
      <c r="J34" s="188">
        <v>45000</v>
      </c>
      <c r="K34" s="24">
        <v>37000</v>
      </c>
      <c r="L34" s="159">
        <v>44000</v>
      </c>
      <c r="M34" s="155">
        <v>31000</v>
      </c>
      <c r="N34" s="367">
        <f t="shared" ref="N34:N44" si="6">SUM(B34:M34)</f>
        <v>2173000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1:69">
      <c r="A35" s="366" t="s">
        <v>222</v>
      </c>
      <c r="B35" s="24">
        <v>73000</v>
      </c>
      <c r="C35" s="155">
        <v>63000</v>
      </c>
      <c r="D35" s="24">
        <v>136000</v>
      </c>
      <c r="E35" s="155">
        <v>714000</v>
      </c>
      <c r="F35" s="24">
        <v>259000</v>
      </c>
      <c r="G35" s="155">
        <v>255000</v>
      </c>
      <c r="H35" s="24">
        <v>230000</v>
      </c>
      <c r="I35" s="155">
        <v>368000</v>
      </c>
      <c r="J35" s="188">
        <v>133000</v>
      </c>
      <c r="K35" s="24">
        <v>65000</v>
      </c>
      <c r="L35" s="159">
        <v>199000</v>
      </c>
      <c r="M35" s="155">
        <v>178000</v>
      </c>
      <c r="N35" s="367">
        <f t="shared" si="6"/>
        <v>2673000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69">
      <c r="A36" s="366" t="s">
        <v>183</v>
      </c>
      <c r="B36" s="24"/>
      <c r="C36" s="155"/>
      <c r="D36" s="24"/>
      <c r="E36" s="155"/>
      <c r="F36" s="24"/>
      <c r="G36" s="155"/>
      <c r="H36" s="24"/>
      <c r="I36" s="155"/>
      <c r="J36" s="188"/>
      <c r="K36" s="24"/>
      <c r="L36" s="159"/>
      <c r="M36" s="159"/>
      <c r="N36" s="367">
        <f t="shared" si="6"/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>
      <c r="A37" s="366" t="s">
        <v>192</v>
      </c>
      <c r="B37" s="24"/>
      <c r="C37" s="155"/>
      <c r="D37" s="24"/>
      <c r="E37" s="155"/>
      <c r="F37" s="24"/>
      <c r="G37" s="155"/>
      <c r="H37" s="24"/>
      <c r="I37" s="155"/>
      <c r="J37" s="188"/>
      <c r="K37" s="24"/>
      <c r="L37" s="159"/>
      <c r="M37" s="159"/>
      <c r="N37" s="367">
        <f t="shared" si="6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69">
      <c r="A38" s="366" t="s">
        <v>185</v>
      </c>
      <c r="B38" s="24"/>
      <c r="C38" s="155"/>
      <c r="D38" s="24"/>
      <c r="E38" s="155"/>
      <c r="F38" s="24"/>
      <c r="G38" s="155"/>
      <c r="H38" s="24"/>
      <c r="I38" s="155"/>
      <c r="J38" s="188"/>
      <c r="K38" s="24"/>
      <c r="L38" s="159"/>
      <c r="M38" s="159"/>
      <c r="N38" s="367">
        <f t="shared" si="6"/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>
      <c r="A39" s="366" t="s">
        <v>193</v>
      </c>
      <c r="B39" s="24"/>
      <c r="C39" s="155"/>
      <c r="D39" s="24"/>
      <c r="E39" s="155"/>
      <c r="F39" s="24"/>
      <c r="G39" s="155"/>
      <c r="H39" s="24"/>
      <c r="I39" s="155"/>
      <c r="J39" s="188"/>
      <c r="K39" s="24"/>
      <c r="L39" s="159"/>
      <c r="M39" s="159"/>
      <c r="N39" s="367">
        <f t="shared" si="6"/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>
      <c r="A40" s="366" t="s">
        <v>194</v>
      </c>
      <c r="B40" s="24"/>
      <c r="C40" s="155"/>
      <c r="D40" s="24"/>
      <c r="E40" s="155"/>
      <c r="F40" s="24"/>
      <c r="G40" s="155"/>
      <c r="H40" s="24"/>
      <c r="I40" s="155"/>
      <c r="J40" s="188"/>
      <c r="K40" s="24"/>
      <c r="L40" s="159"/>
      <c r="M40" s="159"/>
      <c r="N40" s="367">
        <f t="shared" si="6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>
      <c r="A41" s="366" t="s">
        <v>195</v>
      </c>
      <c r="B41" s="24"/>
      <c r="C41" s="155"/>
      <c r="D41" s="24"/>
      <c r="E41" s="155"/>
      <c r="F41" s="24"/>
      <c r="G41" s="155"/>
      <c r="H41" s="24"/>
      <c r="I41" s="155"/>
      <c r="J41" s="188"/>
      <c r="K41" s="24"/>
      <c r="L41" s="159"/>
      <c r="M41" s="159"/>
      <c r="N41" s="367">
        <f t="shared" si="6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>
      <c r="A42" s="366" t="s">
        <v>29</v>
      </c>
      <c r="B42" s="24">
        <v>145000</v>
      </c>
      <c r="C42" s="155">
        <v>211000</v>
      </c>
      <c r="D42" s="24">
        <v>269000</v>
      </c>
      <c r="E42" s="155">
        <v>228000</v>
      </c>
      <c r="F42" s="24">
        <v>200000</v>
      </c>
      <c r="G42" s="155">
        <v>143000</v>
      </c>
      <c r="H42" s="24">
        <v>112000</v>
      </c>
      <c r="I42" s="155">
        <v>79000</v>
      </c>
      <c r="J42" s="188">
        <v>32000</v>
      </c>
      <c r="K42" s="24">
        <v>48000</v>
      </c>
      <c r="L42" s="159">
        <v>355000</v>
      </c>
      <c r="M42" s="159">
        <v>314000</v>
      </c>
      <c r="N42" s="367">
        <f t="shared" si="6"/>
        <v>2136000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>
      <c r="A43" s="366" t="s">
        <v>188</v>
      </c>
      <c r="B43" s="24"/>
      <c r="C43" s="155"/>
      <c r="D43" s="24"/>
      <c r="E43" s="155"/>
      <c r="F43" s="24"/>
      <c r="G43" s="155"/>
      <c r="H43" s="24"/>
      <c r="I43" s="155"/>
      <c r="J43" s="188"/>
      <c r="K43" s="24"/>
      <c r="L43" s="159"/>
      <c r="M43" s="159"/>
      <c r="N43" s="367">
        <f t="shared" si="6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>
      <c r="A44" s="366" t="s">
        <v>28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50000</v>
      </c>
      <c r="I44" s="188">
        <v>0</v>
      </c>
      <c r="J44" s="188">
        <v>0</v>
      </c>
      <c r="K44" s="24">
        <v>8000</v>
      </c>
      <c r="L44" s="159">
        <v>8000</v>
      </c>
      <c r="M44" s="159">
        <v>3000</v>
      </c>
      <c r="N44" s="367">
        <f t="shared" si="6"/>
        <v>69000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>
      <c r="A45" s="366"/>
      <c r="B45" s="24"/>
      <c r="C45" s="155"/>
      <c r="D45" s="24"/>
      <c r="E45" s="155"/>
      <c r="F45" s="24"/>
      <c r="G45" s="155"/>
      <c r="H45" s="24"/>
      <c r="I45" s="155"/>
      <c r="J45" s="188"/>
      <c r="K45" s="24"/>
      <c r="L45" s="159"/>
      <c r="M45" s="159"/>
      <c r="N45" s="36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>
      <c r="A46" s="271" t="s">
        <v>21</v>
      </c>
      <c r="B46" s="22">
        <f>SUM(B47:B53)</f>
        <v>2655000</v>
      </c>
      <c r="C46" s="90">
        <f t="shared" ref="C46:M46" si="7">SUM(C47:C53)</f>
        <v>2907000</v>
      </c>
      <c r="D46" s="22">
        <f t="shared" si="7"/>
        <v>6947000</v>
      </c>
      <c r="E46" s="90">
        <f t="shared" si="7"/>
        <v>5622000</v>
      </c>
      <c r="F46" s="22">
        <f t="shared" si="7"/>
        <v>4891000</v>
      </c>
      <c r="G46" s="90">
        <f t="shared" si="7"/>
        <v>4769000</v>
      </c>
      <c r="H46" s="22">
        <f t="shared" si="7"/>
        <v>4262000</v>
      </c>
      <c r="I46" s="90">
        <f t="shared" si="7"/>
        <v>2206000</v>
      </c>
      <c r="J46" s="243">
        <f t="shared" si="7"/>
        <v>2200000</v>
      </c>
      <c r="K46" s="22">
        <f t="shared" si="7"/>
        <v>3307000</v>
      </c>
      <c r="L46" s="160">
        <f t="shared" si="7"/>
        <v>2680000</v>
      </c>
      <c r="M46" s="160">
        <f t="shared" si="7"/>
        <v>2490000</v>
      </c>
      <c r="N46" s="369">
        <f>SUM(N47:N53)</f>
        <v>44936000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>
      <c r="A47" s="366" t="s">
        <v>30</v>
      </c>
      <c r="B47" s="24">
        <v>1637000</v>
      </c>
      <c r="C47" s="155">
        <v>1389000</v>
      </c>
      <c r="D47" s="24">
        <v>4100000</v>
      </c>
      <c r="E47" s="155">
        <v>4510000</v>
      </c>
      <c r="F47" s="24">
        <v>3293000</v>
      </c>
      <c r="G47" s="155">
        <v>3127000</v>
      </c>
      <c r="H47" s="24">
        <v>2306000</v>
      </c>
      <c r="I47" s="155">
        <v>556000</v>
      </c>
      <c r="J47" s="188">
        <v>624000</v>
      </c>
      <c r="K47" s="24">
        <v>1780000</v>
      </c>
      <c r="L47" s="159">
        <v>1379000</v>
      </c>
      <c r="M47" s="155">
        <v>1306000</v>
      </c>
      <c r="N47" s="367">
        <f t="shared" ref="N47:N53" si="8">SUM(B47:M47)</f>
        <v>26007000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>
      <c r="A48" s="366" t="s">
        <v>31</v>
      </c>
      <c r="B48" s="24">
        <v>795000</v>
      </c>
      <c r="C48" s="155">
        <v>1307000</v>
      </c>
      <c r="D48" s="24">
        <v>2577000</v>
      </c>
      <c r="E48" s="155">
        <v>660000</v>
      </c>
      <c r="F48" s="24">
        <v>1084000</v>
      </c>
      <c r="G48" s="155">
        <v>1092000</v>
      </c>
      <c r="H48" s="24">
        <v>1572000</v>
      </c>
      <c r="I48" s="155">
        <v>1284000</v>
      </c>
      <c r="J48" s="188">
        <v>1200000</v>
      </c>
      <c r="K48" s="24">
        <v>1155000</v>
      </c>
      <c r="L48" s="159">
        <v>875000</v>
      </c>
      <c r="M48" s="155">
        <v>810000</v>
      </c>
      <c r="N48" s="367">
        <f t="shared" si="8"/>
        <v>14411000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>
      <c r="A49" s="366" t="s">
        <v>32</v>
      </c>
      <c r="B49" s="24"/>
      <c r="C49" s="155"/>
      <c r="D49" s="24"/>
      <c r="E49" s="155"/>
      <c r="F49" s="24"/>
      <c r="G49" s="155"/>
      <c r="H49" s="24"/>
      <c r="I49" s="155"/>
      <c r="J49" s="188"/>
      <c r="K49" s="24"/>
      <c r="L49" s="159"/>
      <c r="M49" s="159"/>
      <c r="N49" s="367">
        <f t="shared" si="8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>
      <c r="A50" s="366" t="s">
        <v>196</v>
      </c>
      <c r="B50" s="24"/>
      <c r="C50" s="155"/>
      <c r="D50" s="24"/>
      <c r="E50" s="155"/>
      <c r="F50" s="24"/>
      <c r="G50" s="155"/>
      <c r="H50" s="24"/>
      <c r="I50" s="155"/>
      <c r="J50" s="188"/>
      <c r="K50" s="24"/>
      <c r="L50" s="159"/>
      <c r="M50" s="159"/>
      <c r="N50" s="367">
        <f t="shared" si="8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>
      <c r="A51" s="366" t="s">
        <v>33</v>
      </c>
      <c r="B51" s="24"/>
      <c r="C51" s="155"/>
      <c r="D51" s="24"/>
      <c r="E51" s="155"/>
      <c r="F51" s="24"/>
      <c r="G51" s="155"/>
      <c r="H51" s="24"/>
      <c r="I51" s="155"/>
      <c r="J51" s="188"/>
      <c r="K51" s="24"/>
      <c r="L51" s="159"/>
      <c r="M51" s="159"/>
      <c r="N51" s="367">
        <f t="shared" si="8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1:69">
      <c r="A52" s="366" t="s">
        <v>28</v>
      </c>
      <c r="B52" s="24">
        <v>80000</v>
      </c>
      <c r="C52" s="155">
        <v>80000</v>
      </c>
      <c r="D52" s="24">
        <v>80000</v>
      </c>
      <c r="E52" s="155">
        <v>80000</v>
      </c>
      <c r="F52" s="24">
        <v>80000</v>
      </c>
      <c r="G52" s="155">
        <v>80000</v>
      </c>
      <c r="H52" s="24">
        <v>80000</v>
      </c>
      <c r="I52" s="155">
        <v>80000</v>
      </c>
      <c r="J52" s="188">
        <v>80000</v>
      </c>
      <c r="K52" s="24">
        <v>80000</v>
      </c>
      <c r="L52" s="159">
        <v>80000</v>
      </c>
      <c r="M52" s="155">
        <v>60000</v>
      </c>
      <c r="N52" s="367">
        <f t="shared" si="8"/>
        <v>940000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1:69">
      <c r="A53" s="372" t="s">
        <v>150</v>
      </c>
      <c r="B53" s="25">
        <v>143000</v>
      </c>
      <c r="C53" s="155">
        <v>131000</v>
      </c>
      <c r="D53" s="25">
        <v>190000</v>
      </c>
      <c r="E53" s="155">
        <v>372000</v>
      </c>
      <c r="F53" s="25">
        <v>434000</v>
      </c>
      <c r="G53" s="155">
        <v>470000</v>
      </c>
      <c r="H53" s="25">
        <v>304000</v>
      </c>
      <c r="I53" s="155">
        <v>286000</v>
      </c>
      <c r="J53" s="244">
        <v>296000</v>
      </c>
      <c r="K53" s="25">
        <v>292000</v>
      </c>
      <c r="L53" s="156">
        <v>346000</v>
      </c>
      <c r="M53" s="155">
        <v>314000</v>
      </c>
      <c r="N53" s="373">
        <f t="shared" si="8"/>
        <v>3578000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1:69" ht="13.5" customHeight="1">
      <c r="A54" s="37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23"/>
      <c r="M54" s="124"/>
      <c r="N54" s="375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1:69">
      <c r="A55" s="376" t="s">
        <v>22</v>
      </c>
      <c r="B55" s="21">
        <f>SUM(B56:B64)</f>
        <v>25754000</v>
      </c>
      <c r="C55" s="21">
        <f t="shared" ref="C55:N55" si="9">SUM(C56:C64)</f>
        <v>32535000</v>
      </c>
      <c r="D55" s="21">
        <f t="shared" si="9"/>
        <v>28933000</v>
      </c>
      <c r="E55" s="21">
        <f t="shared" si="9"/>
        <v>29265000</v>
      </c>
      <c r="F55" s="21">
        <f t="shared" si="9"/>
        <v>29983000</v>
      </c>
      <c r="G55" s="21">
        <f t="shared" si="9"/>
        <v>23315000</v>
      </c>
      <c r="H55" s="21">
        <f t="shared" si="9"/>
        <v>25845000</v>
      </c>
      <c r="I55" s="21">
        <f t="shared" si="9"/>
        <v>22688000</v>
      </c>
      <c r="J55" s="21">
        <f t="shared" si="9"/>
        <v>24828000</v>
      </c>
      <c r="K55" s="242">
        <f t="shared" si="9"/>
        <v>27806000</v>
      </c>
      <c r="L55" s="21">
        <f t="shared" si="9"/>
        <v>23418000</v>
      </c>
      <c r="M55" s="121">
        <f t="shared" si="9"/>
        <v>19628591</v>
      </c>
      <c r="N55" s="106">
        <f t="shared" si="9"/>
        <v>313998591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>
      <c r="A56" s="377" t="s">
        <v>36</v>
      </c>
      <c r="B56" s="24">
        <v>19797000</v>
      </c>
      <c r="C56" s="155">
        <v>22219000</v>
      </c>
      <c r="D56" s="24">
        <v>18260000</v>
      </c>
      <c r="E56" s="155">
        <v>19122000</v>
      </c>
      <c r="F56" s="9">
        <v>21393000</v>
      </c>
      <c r="G56" s="155">
        <v>16997000</v>
      </c>
      <c r="H56" s="24">
        <v>17823000</v>
      </c>
      <c r="I56" s="159">
        <v>16303000</v>
      </c>
      <c r="J56" s="155">
        <v>18722000</v>
      </c>
      <c r="K56" s="188">
        <v>19970000</v>
      </c>
      <c r="L56" s="24">
        <v>18257000</v>
      </c>
      <c r="M56" s="155">
        <v>14571519</v>
      </c>
      <c r="N56" s="367">
        <f t="shared" ref="N56:N64" si="10">SUM(B56:M56)</f>
        <v>223434519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1:69">
      <c r="A57" s="377" t="s">
        <v>37</v>
      </c>
      <c r="B57" s="24">
        <v>1130000</v>
      </c>
      <c r="C57" s="155">
        <v>1295000</v>
      </c>
      <c r="D57" s="24">
        <v>2345000</v>
      </c>
      <c r="E57" s="155">
        <v>1613000</v>
      </c>
      <c r="F57" s="24">
        <v>1864000</v>
      </c>
      <c r="G57" s="155">
        <v>1338000</v>
      </c>
      <c r="H57" s="24">
        <v>1500000</v>
      </c>
      <c r="I57" s="155">
        <v>1520000</v>
      </c>
      <c r="J57" s="24">
        <v>1110000</v>
      </c>
      <c r="K57" s="155">
        <v>2190000</v>
      </c>
      <c r="L57" s="24">
        <v>1254000</v>
      </c>
      <c r="M57" s="155">
        <v>1230000</v>
      </c>
      <c r="N57" s="367">
        <f t="shared" si="10"/>
        <v>18389000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>
      <c r="A58" s="377" t="s">
        <v>197</v>
      </c>
      <c r="B58" s="24"/>
      <c r="C58" s="155"/>
      <c r="D58" s="24"/>
      <c r="E58" s="155"/>
      <c r="F58" s="24"/>
      <c r="G58" s="155"/>
      <c r="H58" s="24"/>
      <c r="I58" s="155"/>
      <c r="J58" s="24"/>
      <c r="K58" s="155"/>
      <c r="L58" s="24"/>
      <c r="M58" s="159"/>
      <c r="N58" s="367">
        <f t="shared" si="10"/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>
      <c r="A59" s="377" t="s">
        <v>34</v>
      </c>
      <c r="B59" s="24">
        <v>1772000</v>
      </c>
      <c r="C59" s="155">
        <v>5268000</v>
      </c>
      <c r="D59" s="24">
        <v>5363000</v>
      </c>
      <c r="E59" s="155">
        <v>4463000</v>
      </c>
      <c r="F59" s="24">
        <v>3528000</v>
      </c>
      <c r="G59" s="155">
        <v>2088000</v>
      </c>
      <c r="H59" s="24">
        <v>1996000</v>
      </c>
      <c r="I59" s="155">
        <v>1676000</v>
      </c>
      <c r="J59" s="24">
        <v>1863000</v>
      </c>
      <c r="K59" s="155">
        <v>1696000</v>
      </c>
      <c r="L59" s="24">
        <v>1618000</v>
      </c>
      <c r="M59" s="155">
        <v>1612072</v>
      </c>
      <c r="N59" s="367">
        <f t="shared" si="10"/>
        <v>32943072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>
      <c r="A60" s="377" t="s">
        <v>165</v>
      </c>
      <c r="B60" s="24">
        <v>0</v>
      </c>
      <c r="C60" s="155">
        <v>0</v>
      </c>
      <c r="D60" s="24">
        <v>0</v>
      </c>
      <c r="E60" s="155">
        <v>0</v>
      </c>
      <c r="F60" s="24">
        <v>0</v>
      </c>
      <c r="G60" s="155">
        <v>0</v>
      </c>
      <c r="H60" s="24">
        <v>1177000</v>
      </c>
      <c r="I60" s="155">
        <v>0</v>
      </c>
      <c r="J60" s="24">
        <v>0</v>
      </c>
      <c r="K60" s="155">
        <v>0</v>
      </c>
      <c r="L60" s="24">
        <v>0</v>
      </c>
      <c r="M60" s="155">
        <v>0</v>
      </c>
      <c r="N60" s="367">
        <f t="shared" si="10"/>
        <v>1177000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>
      <c r="A61" s="377" t="s">
        <v>151</v>
      </c>
      <c r="B61" s="24">
        <v>505000</v>
      </c>
      <c r="C61" s="155">
        <v>585000</v>
      </c>
      <c r="D61" s="24">
        <v>365000</v>
      </c>
      <c r="E61" s="155">
        <v>375000</v>
      </c>
      <c r="F61" s="24">
        <v>400000</v>
      </c>
      <c r="G61" s="155">
        <v>386000</v>
      </c>
      <c r="H61" s="24">
        <v>427000</v>
      </c>
      <c r="I61" s="155">
        <v>370000</v>
      </c>
      <c r="J61" s="24">
        <v>375000</v>
      </c>
      <c r="K61" s="155">
        <v>406000</v>
      </c>
      <c r="L61" s="24">
        <v>314000</v>
      </c>
      <c r="M61" s="155">
        <v>315000</v>
      </c>
      <c r="N61" s="367">
        <f t="shared" si="10"/>
        <v>4823000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1:69">
      <c r="A62" s="377" t="s">
        <v>198</v>
      </c>
      <c r="B62" s="24">
        <v>582000</v>
      </c>
      <c r="C62" s="155">
        <v>525000</v>
      </c>
      <c r="D62" s="24">
        <v>1142000</v>
      </c>
      <c r="E62" s="155">
        <v>412000</v>
      </c>
      <c r="F62" s="24">
        <v>478000</v>
      </c>
      <c r="G62" s="155">
        <v>348000</v>
      </c>
      <c r="H62" s="24">
        <v>554000</v>
      </c>
      <c r="I62" s="155">
        <v>550000</v>
      </c>
      <c r="J62" s="24">
        <v>578000</v>
      </c>
      <c r="K62" s="155">
        <v>1000000</v>
      </c>
      <c r="L62" s="24">
        <v>450000</v>
      </c>
      <c r="M62" s="155">
        <v>420000</v>
      </c>
      <c r="N62" s="367">
        <f t="shared" si="10"/>
        <v>7039000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>
      <c r="A63" s="377" t="s">
        <v>446</v>
      </c>
      <c r="B63" s="24">
        <v>800000</v>
      </c>
      <c r="C63" s="155">
        <v>678000</v>
      </c>
      <c r="D63" s="24">
        <v>678000</v>
      </c>
      <c r="E63" s="155">
        <v>1270000</v>
      </c>
      <c r="F63" s="24">
        <v>700000</v>
      </c>
      <c r="G63" s="155">
        <v>678000</v>
      </c>
      <c r="H63" s="24">
        <v>768000</v>
      </c>
      <c r="I63" s="155">
        <v>745000</v>
      </c>
      <c r="J63" s="24">
        <v>680000</v>
      </c>
      <c r="K63" s="155">
        <v>948000</v>
      </c>
      <c r="L63" s="24">
        <v>690000</v>
      </c>
      <c r="M63" s="159">
        <v>690000</v>
      </c>
      <c r="N63" s="367">
        <f t="shared" si="10"/>
        <v>9325000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>
      <c r="A64" s="377" t="s">
        <v>454</v>
      </c>
      <c r="B64" s="24">
        <v>1168000</v>
      </c>
      <c r="C64" s="155">
        <v>1965000</v>
      </c>
      <c r="D64" s="24">
        <v>780000</v>
      </c>
      <c r="E64" s="155">
        <v>2010000</v>
      </c>
      <c r="F64" s="24">
        <v>1620000</v>
      </c>
      <c r="G64" s="155">
        <v>1480000</v>
      </c>
      <c r="H64" s="24">
        <v>1600000</v>
      </c>
      <c r="I64" s="155">
        <v>1524000</v>
      </c>
      <c r="J64" s="24">
        <v>1500000</v>
      </c>
      <c r="K64" s="155">
        <v>1596000</v>
      </c>
      <c r="L64" s="24">
        <v>835000</v>
      </c>
      <c r="M64" s="159">
        <v>790000</v>
      </c>
      <c r="N64" s="367">
        <f t="shared" si="10"/>
        <v>16868000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1:69">
      <c r="A65" s="368" t="s">
        <v>205</v>
      </c>
      <c r="B65" s="22">
        <f>SUM(B66:B71)</f>
        <v>1277000</v>
      </c>
      <c r="C65" s="22">
        <f t="shared" ref="C65:N65" si="11">SUM(C66:C71)</f>
        <v>1277000</v>
      </c>
      <c r="D65" s="22">
        <f t="shared" si="11"/>
        <v>1285000</v>
      </c>
      <c r="E65" s="22">
        <f t="shared" si="11"/>
        <v>1277000</v>
      </c>
      <c r="F65" s="22">
        <f t="shared" si="11"/>
        <v>1283000</v>
      </c>
      <c r="G65" s="22">
        <f t="shared" si="11"/>
        <v>1305000</v>
      </c>
      <c r="H65" s="22">
        <f t="shared" si="11"/>
        <v>1305000</v>
      </c>
      <c r="I65" s="22">
        <f t="shared" si="11"/>
        <v>1300423</v>
      </c>
      <c r="J65" s="22">
        <f t="shared" si="11"/>
        <v>1281000</v>
      </c>
      <c r="K65" s="22">
        <f t="shared" si="11"/>
        <v>1294000</v>
      </c>
      <c r="L65" s="22">
        <f t="shared" si="11"/>
        <v>27000</v>
      </c>
      <c r="M65" s="22">
        <f t="shared" si="11"/>
        <v>17000</v>
      </c>
      <c r="N65" s="369">
        <f t="shared" si="11"/>
        <v>12928423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1:69">
      <c r="A66" s="378" t="s">
        <v>292</v>
      </c>
      <c r="B66" s="24">
        <v>1265000</v>
      </c>
      <c r="C66" s="24">
        <v>1265000</v>
      </c>
      <c r="D66" s="24">
        <v>1265000</v>
      </c>
      <c r="E66" s="188">
        <v>1265000</v>
      </c>
      <c r="F66" s="24">
        <v>1265000</v>
      </c>
      <c r="G66" s="155">
        <v>1265000</v>
      </c>
      <c r="H66" s="24">
        <v>1265000</v>
      </c>
      <c r="I66" s="159">
        <v>1265423</v>
      </c>
      <c r="J66" s="24">
        <v>1266000</v>
      </c>
      <c r="K66" s="188">
        <v>1266000</v>
      </c>
      <c r="L66" s="24">
        <v>0</v>
      </c>
      <c r="M66" s="155">
        <v>0</v>
      </c>
      <c r="N66" s="367">
        <f t="shared" ref="N66:N71" si="12">SUM(B66:M66)</f>
        <v>12652423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1:69">
      <c r="A67" s="269" t="s">
        <v>475</v>
      </c>
      <c r="B67" s="24"/>
      <c r="C67" s="155"/>
      <c r="D67" s="24"/>
      <c r="E67" s="155"/>
      <c r="F67" s="24"/>
      <c r="G67" s="155"/>
      <c r="H67" s="24"/>
      <c r="I67" s="155"/>
      <c r="J67" s="24"/>
      <c r="K67" s="155"/>
      <c r="L67" s="24"/>
      <c r="M67" s="159"/>
      <c r="N67" s="367">
        <f t="shared" si="12"/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1:69">
      <c r="A68" s="269" t="s">
        <v>476</v>
      </c>
      <c r="B68" s="24"/>
      <c r="C68" s="155"/>
      <c r="D68" s="24"/>
      <c r="E68" s="155"/>
      <c r="F68" s="24"/>
      <c r="G68" s="155"/>
      <c r="H68" s="24"/>
      <c r="I68" s="155"/>
      <c r="J68" s="24"/>
      <c r="K68" s="155"/>
      <c r="L68" s="24"/>
      <c r="M68" s="159"/>
      <c r="N68" s="367">
        <f t="shared" si="12"/>
        <v>0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1:69">
      <c r="A69" s="269" t="s">
        <v>477</v>
      </c>
      <c r="B69" s="24"/>
      <c r="C69" s="24"/>
      <c r="D69" s="24"/>
      <c r="E69" s="188"/>
      <c r="F69" s="24"/>
      <c r="G69" s="155"/>
      <c r="H69" s="24"/>
      <c r="I69" s="159"/>
      <c r="J69" s="24"/>
      <c r="K69" s="155"/>
      <c r="L69" s="24"/>
      <c r="M69" s="159"/>
      <c r="N69" s="367">
        <f t="shared" si="12"/>
        <v>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1:69">
      <c r="A70" s="269" t="s">
        <v>566</v>
      </c>
      <c r="B70" s="24"/>
      <c r="C70" s="155"/>
      <c r="D70" s="24"/>
      <c r="E70" s="155"/>
      <c r="F70" s="24"/>
      <c r="G70" s="155"/>
      <c r="H70" s="24"/>
      <c r="I70" s="155"/>
      <c r="J70" s="24"/>
      <c r="K70" s="155"/>
      <c r="L70" s="24"/>
      <c r="M70" s="159"/>
      <c r="N70" s="367">
        <f t="shared" si="12"/>
        <v>0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>
      <c r="A71" s="379" t="s">
        <v>1139</v>
      </c>
      <c r="B71" s="24">
        <v>12000</v>
      </c>
      <c r="C71" s="155">
        <v>12000</v>
      </c>
      <c r="D71" s="24">
        <v>20000</v>
      </c>
      <c r="E71" s="155">
        <v>12000</v>
      </c>
      <c r="F71" s="24">
        <v>18000</v>
      </c>
      <c r="G71" s="155">
        <v>40000</v>
      </c>
      <c r="H71" s="24">
        <v>40000</v>
      </c>
      <c r="I71" s="155">
        <v>35000</v>
      </c>
      <c r="J71" s="24">
        <v>15000</v>
      </c>
      <c r="K71" s="155">
        <v>28000</v>
      </c>
      <c r="L71" s="24">
        <v>27000</v>
      </c>
      <c r="M71" s="159">
        <v>17000</v>
      </c>
      <c r="N71" s="367">
        <f t="shared" si="12"/>
        <v>276000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1:69">
      <c r="A72" s="368" t="s">
        <v>24</v>
      </c>
      <c r="B72" s="22">
        <f>SUM(B73:B78)</f>
        <v>16322000</v>
      </c>
      <c r="C72" s="22">
        <f t="shared" ref="C72:N72" si="13">SUM(C73:C78)</f>
        <v>16311000</v>
      </c>
      <c r="D72" s="22">
        <f t="shared" si="13"/>
        <v>16326000</v>
      </c>
      <c r="E72" s="22">
        <f t="shared" si="13"/>
        <v>16343000</v>
      </c>
      <c r="F72" s="22">
        <f t="shared" si="13"/>
        <v>16311000</v>
      </c>
      <c r="G72" s="22">
        <f t="shared" si="13"/>
        <v>16345000</v>
      </c>
      <c r="H72" s="22">
        <f t="shared" si="13"/>
        <v>16312000</v>
      </c>
      <c r="I72" s="22">
        <f t="shared" si="13"/>
        <v>16311000</v>
      </c>
      <c r="J72" s="22">
        <f t="shared" si="13"/>
        <v>16302000</v>
      </c>
      <c r="K72" s="22">
        <f t="shared" si="13"/>
        <v>16299000</v>
      </c>
      <c r="L72" s="22">
        <f t="shared" si="13"/>
        <v>16350000</v>
      </c>
      <c r="M72" s="22">
        <f t="shared" si="13"/>
        <v>16353921</v>
      </c>
      <c r="N72" s="369">
        <f t="shared" si="13"/>
        <v>195885921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1:69">
      <c r="A73" s="378" t="s">
        <v>292</v>
      </c>
      <c r="B73" s="24">
        <v>16295000</v>
      </c>
      <c r="C73" s="24">
        <v>16295000</v>
      </c>
      <c r="D73" s="24">
        <v>16295000</v>
      </c>
      <c r="E73" s="188">
        <v>16295000</v>
      </c>
      <c r="F73" s="24">
        <v>16295000</v>
      </c>
      <c r="G73" s="155">
        <v>16295000</v>
      </c>
      <c r="H73" s="24">
        <v>16295000</v>
      </c>
      <c r="I73" s="159">
        <v>16294000</v>
      </c>
      <c r="J73" s="24">
        <v>16294000</v>
      </c>
      <c r="K73" s="188">
        <v>16294000</v>
      </c>
      <c r="L73" s="24">
        <v>16294000</v>
      </c>
      <c r="M73" s="159">
        <v>16293921</v>
      </c>
      <c r="N73" s="367">
        <f t="shared" ref="N73:N79" si="14">SUM(B73:M73)</f>
        <v>195534921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1:69">
      <c r="A74" s="378" t="s">
        <v>478</v>
      </c>
      <c r="B74" s="24"/>
      <c r="C74" s="155"/>
      <c r="D74" s="24"/>
      <c r="E74" s="155"/>
      <c r="F74" s="24"/>
      <c r="G74" s="155"/>
      <c r="H74" s="24"/>
      <c r="I74" s="155"/>
      <c r="J74" s="24"/>
      <c r="K74" s="155"/>
      <c r="L74" s="24"/>
      <c r="M74" s="159"/>
      <c r="N74" s="367">
        <f t="shared" si="14"/>
        <v>0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1:69">
      <c r="A75" s="378" t="s">
        <v>479</v>
      </c>
      <c r="B75" s="24"/>
      <c r="C75" s="155"/>
      <c r="D75" s="24"/>
      <c r="E75" s="155"/>
      <c r="F75" s="24"/>
      <c r="G75" s="155"/>
      <c r="H75" s="24"/>
      <c r="I75" s="155"/>
      <c r="J75" s="24"/>
      <c r="K75" s="155"/>
      <c r="L75" s="24"/>
      <c r="M75" s="159"/>
      <c r="N75" s="367">
        <f t="shared" si="14"/>
        <v>0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1:69">
      <c r="A76" s="378" t="s">
        <v>480</v>
      </c>
      <c r="B76" s="24"/>
      <c r="C76" s="24"/>
      <c r="D76" s="24"/>
      <c r="E76" s="188"/>
      <c r="F76" s="24"/>
      <c r="G76" s="155"/>
      <c r="H76" s="24"/>
      <c r="I76" s="159"/>
      <c r="J76" s="24"/>
      <c r="K76" s="188"/>
      <c r="L76" s="24"/>
      <c r="M76" s="159"/>
      <c r="N76" s="367">
        <f t="shared" si="14"/>
        <v>0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1:69">
      <c r="A77" s="378" t="s">
        <v>567</v>
      </c>
      <c r="B77" s="24"/>
      <c r="C77" s="155"/>
      <c r="D77" s="24"/>
      <c r="E77" s="155"/>
      <c r="F77" s="24"/>
      <c r="G77" s="155"/>
      <c r="H77" s="24"/>
      <c r="I77" s="155"/>
      <c r="J77" s="24"/>
      <c r="K77" s="155"/>
      <c r="L77" s="24"/>
      <c r="M77" s="159"/>
      <c r="N77" s="367">
        <f t="shared" si="14"/>
        <v>0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>
      <c r="A78" s="380" t="s">
        <v>1140</v>
      </c>
      <c r="B78" s="24">
        <v>27000</v>
      </c>
      <c r="C78" s="155">
        <v>16000</v>
      </c>
      <c r="D78" s="24">
        <v>31000</v>
      </c>
      <c r="E78" s="155">
        <v>48000</v>
      </c>
      <c r="F78" s="24">
        <v>16000</v>
      </c>
      <c r="G78" s="155">
        <v>50000</v>
      </c>
      <c r="H78" s="24">
        <v>17000</v>
      </c>
      <c r="I78" s="155">
        <v>17000</v>
      </c>
      <c r="J78" s="24">
        <v>8000</v>
      </c>
      <c r="K78" s="155">
        <v>5000</v>
      </c>
      <c r="L78" s="24">
        <v>56000</v>
      </c>
      <c r="M78" s="159">
        <v>60000</v>
      </c>
      <c r="N78" s="367">
        <f t="shared" si="14"/>
        <v>351000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1:69" ht="13.5" thickBot="1">
      <c r="A79" s="381" t="s">
        <v>225</v>
      </c>
      <c r="B79" s="382">
        <v>0</v>
      </c>
      <c r="C79" s="382">
        <v>0</v>
      </c>
      <c r="D79" s="382">
        <v>0</v>
      </c>
      <c r="E79" s="382">
        <v>1460000</v>
      </c>
      <c r="F79" s="382">
        <v>1460000</v>
      </c>
      <c r="G79" s="382">
        <v>1461055</v>
      </c>
      <c r="H79" s="382">
        <v>0</v>
      </c>
      <c r="I79" s="382">
        <v>0</v>
      </c>
      <c r="J79" s="382">
        <v>0</v>
      </c>
      <c r="K79" s="383">
        <v>0</v>
      </c>
      <c r="L79" s="382">
        <v>0</v>
      </c>
      <c r="M79" s="384">
        <v>0</v>
      </c>
      <c r="N79" s="385">
        <f t="shared" si="14"/>
        <v>4381055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1:69" ht="13.5" thickBot="1">
      <c r="A80" s="216"/>
      <c r="B80" s="24"/>
      <c r="C80" s="155"/>
      <c r="D80" s="24"/>
      <c r="E80" s="155"/>
      <c r="F80" s="24"/>
      <c r="G80" s="155"/>
      <c r="H80" s="24"/>
      <c r="I80" s="155"/>
      <c r="J80" s="24"/>
      <c r="K80" s="155"/>
      <c r="L80" s="24"/>
      <c r="M80" s="159"/>
      <c r="N80" s="2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1:69">
      <c r="A81" s="386" t="s">
        <v>169</v>
      </c>
      <c r="B81" s="362">
        <f>SUM(B82:B110)</f>
        <v>0</v>
      </c>
      <c r="C81" s="362">
        <f t="shared" ref="C81:N81" si="15">SUM(C82:C110)</f>
        <v>0</v>
      </c>
      <c r="D81" s="362">
        <f t="shared" si="15"/>
        <v>0</v>
      </c>
      <c r="E81" s="362">
        <f t="shared" si="15"/>
        <v>0</v>
      </c>
      <c r="F81" s="362">
        <f t="shared" si="15"/>
        <v>0</v>
      </c>
      <c r="G81" s="362">
        <f t="shared" si="15"/>
        <v>0</v>
      </c>
      <c r="H81" s="362">
        <f t="shared" si="15"/>
        <v>0</v>
      </c>
      <c r="I81" s="362">
        <f t="shared" si="15"/>
        <v>0</v>
      </c>
      <c r="J81" s="362">
        <f t="shared" si="15"/>
        <v>0</v>
      </c>
      <c r="K81" s="364">
        <f t="shared" si="15"/>
        <v>0</v>
      </c>
      <c r="L81" s="362">
        <f t="shared" si="15"/>
        <v>0</v>
      </c>
      <c r="M81" s="365">
        <f t="shared" si="15"/>
        <v>0</v>
      </c>
      <c r="N81" s="263">
        <f t="shared" si="15"/>
        <v>0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1:69">
      <c r="A82" s="377" t="s">
        <v>199</v>
      </c>
      <c r="B82" s="24"/>
      <c r="C82" s="155"/>
      <c r="D82" s="24"/>
      <c r="E82" s="155"/>
      <c r="F82" s="24"/>
      <c r="G82" s="155"/>
      <c r="H82" s="24"/>
      <c r="I82" s="155"/>
      <c r="J82" s="24"/>
      <c r="K82" s="155"/>
      <c r="L82" s="24"/>
      <c r="M82" s="159"/>
      <c r="N82" s="367">
        <f>SUM(B82:M82)</f>
        <v>0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1:69">
      <c r="A83" s="377" t="s">
        <v>158</v>
      </c>
      <c r="B83" s="24"/>
      <c r="C83" s="155"/>
      <c r="D83" s="24"/>
      <c r="E83" s="155"/>
      <c r="F83" s="24"/>
      <c r="G83" s="155"/>
      <c r="H83" s="24"/>
      <c r="I83" s="155"/>
      <c r="J83" s="24"/>
      <c r="K83" s="155"/>
      <c r="L83" s="24"/>
      <c r="M83" s="159"/>
      <c r="N83" s="367">
        <f>SUM(B83:M83)</f>
        <v>0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1:69">
      <c r="A84" s="377" t="s">
        <v>344</v>
      </c>
      <c r="B84" s="24"/>
      <c r="C84" s="155"/>
      <c r="D84" s="24"/>
      <c r="E84" s="155"/>
      <c r="F84" s="24"/>
      <c r="G84" s="155"/>
      <c r="H84" s="24"/>
      <c r="I84" s="155"/>
      <c r="J84" s="24"/>
      <c r="K84" s="155"/>
      <c r="L84" s="24"/>
      <c r="M84" s="159"/>
      <c r="N84" s="367">
        <f>SUM(B84:M84)</f>
        <v>0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1:69">
      <c r="A85" s="377" t="s">
        <v>345</v>
      </c>
      <c r="B85" s="24"/>
      <c r="C85" s="155"/>
      <c r="D85" s="24"/>
      <c r="E85" s="155"/>
      <c r="F85" s="24"/>
      <c r="G85" s="155"/>
      <c r="H85" s="24"/>
      <c r="I85" s="155"/>
      <c r="J85" s="24"/>
      <c r="K85" s="155"/>
      <c r="L85" s="24"/>
      <c r="M85" s="159"/>
      <c r="N85" s="367">
        <f>SUM(B85:M85)</f>
        <v>0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>
      <c r="A86" s="377" t="s">
        <v>293</v>
      </c>
      <c r="B86" s="24"/>
      <c r="C86" s="155"/>
      <c r="D86" s="24"/>
      <c r="E86" s="155"/>
      <c r="F86" s="24"/>
      <c r="G86" s="155"/>
      <c r="H86" s="24"/>
      <c r="I86" s="155"/>
      <c r="J86" s="24"/>
      <c r="K86" s="155"/>
      <c r="L86" s="24"/>
      <c r="M86" s="159"/>
      <c r="N86" s="367">
        <f t="shared" ref="N86:N110" si="16">SUM(B86:M86)</f>
        <v>0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1:69">
      <c r="A87" s="377" t="s">
        <v>436</v>
      </c>
      <c r="B87" s="24"/>
      <c r="C87" s="155"/>
      <c r="D87" s="24"/>
      <c r="E87" s="155"/>
      <c r="F87" s="24"/>
      <c r="G87" s="155"/>
      <c r="H87" s="24"/>
      <c r="I87" s="155"/>
      <c r="J87" s="24"/>
      <c r="K87" s="155"/>
      <c r="L87" s="24"/>
      <c r="M87" s="159"/>
      <c r="N87" s="367">
        <f t="shared" si="16"/>
        <v>0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1:69">
      <c r="A88" s="366" t="s">
        <v>395</v>
      </c>
      <c r="B88" s="24"/>
      <c r="C88" s="155"/>
      <c r="D88" s="24"/>
      <c r="E88" s="155"/>
      <c r="F88" s="24"/>
      <c r="G88" s="155"/>
      <c r="H88" s="24"/>
      <c r="I88" s="155"/>
      <c r="J88" s="24"/>
      <c r="K88" s="155"/>
      <c r="L88" s="24"/>
      <c r="M88" s="159"/>
      <c r="N88" s="367">
        <f t="shared" si="16"/>
        <v>0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spans="1:69">
      <c r="A89" s="377" t="s">
        <v>343</v>
      </c>
      <c r="B89" s="24"/>
      <c r="C89" s="155"/>
      <c r="D89" s="24"/>
      <c r="E89" s="155"/>
      <c r="F89" s="24"/>
      <c r="G89" s="155"/>
      <c r="H89" s="24"/>
      <c r="I89" s="155"/>
      <c r="J89" s="24"/>
      <c r="K89" s="155"/>
      <c r="L89" s="24"/>
      <c r="M89" s="159"/>
      <c r="N89" s="367">
        <f t="shared" si="16"/>
        <v>0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>
      <c r="A90" s="377" t="s">
        <v>294</v>
      </c>
      <c r="B90" s="24"/>
      <c r="C90" s="155"/>
      <c r="D90" s="24"/>
      <c r="E90" s="155"/>
      <c r="F90" s="24"/>
      <c r="G90" s="155"/>
      <c r="H90" s="24"/>
      <c r="I90" s="155"/>
      <c r="J90" s="24"/>
      <c r="K90" s="155"/>
      <c r="L90" s="24"/>
      <c r="M90" s="159"/>
      <c r="N90" s="367">
        <f t="shared" si="16"/>
        <v>0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spans="1:69">
      <c r="A91" s="366" t="s">
        <v>435</v>
      </c>
      <c r="B91" s="24"/>
      <c r="C91" s="155"/>
      <c r="D91" s="24"/>
      <c r="E91" s="155"/>
      <c r="F91" s="24"/>
      <c r="G91" s="155"/>
      <c r="H91" s="24"/>
      <c r="I91" s="155"/>
      <c r="J91" s="24"/>
      <c r="K91" s="155"/>
      <c r="L91" s="24"/>
      <c r="M91" s="159"/>
      <c r="N91" s="367">
        <f t="shared" si="16"/>
        <v>0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1:69">
      <c r="A92" s="377" t="s">
        <v>296</v>
      </c>
      <c r="B92" s="24"/>
      <c r="C92" s="155"/>
      <c r="D92" s="24"/>
      <c r="E92" s="155"/>
      <c r="F92" s="24"/>
      <c r="G92" s="155"/>
      <c r="H92" s="24"/>
      <c r="I92" s="159"/>
      <c r="J92" s="24"/>
      <c r="K92" s="155"/>
      <c r="L92" s="24"/>
      <c r="M92" s="159"/>
      <c r="N92" s="367">
        <f t="shared" si="16"/>
        <v>0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1:69">
      <c r="A93" s="366" t="s">
        <v>396</v>
      </c>
      <c r="B93" s="24"/>
      <c r="C93" s="155"/>
      <c r="D93" s="24"/>
      <c r="E93" s="155"/>
      <c r="F93" s="24"/>
      <c r="G93" s="155"/>
      <c r="H93" s="24"/>
      <c r="I93" s="155"/>
      <c r="J93" s="24"/>
      <c r="K93" s="155"/>
      <c r="L93" s="24"/>
      <c r="M93" s="159"/>
      <c r="N93" s="367">
        <f t="shared" si="16"/>
        <v>0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>
      <c r="A94" s="377" t="s">
        <v>437</v>
      </c>
      <c r="B94" s="24"/>
      <c r="C94" s="155"/>
      <c r="D94" s="24"/>
      <c r="E94" s="155"/>
      <c r="F94" s="24"/>
      <c r="G94" s="155"/>
      <c r="H94" s="24"/>
      <c r="I94" s="155"/>
      <c r="J94" s="24"/>
      <c r="K94" s="155"/>
      <c r="L94" s="24"/>
      <c r="M94" s="159"/>
      <c r="N94" s="367">
        <f t="shared" si="16"/>
        <v>0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1:69">
      <c r="A95" s="366" t="s">
        <v>448</v>
      </c>
      <c r="B95" s="24"/>
      <c r="C95" s="155"/>
      <c r="D95" s="24"/>
      <c r="E95" s="155"/>
      <c r="F95" s="24"/>
      <c r="G95" s="155"/>
      <c r="H95" s="24"/>
      <c r="I95" s="155"/>
      <c r="J95" s="24"/>
      <c r="K95" s="155"/>
      <c r="L95" s="24"/>
      <c r="M95" s="159"/>
      <c r="N95" s="367">
        <f t="shared" si="16"/>
        <v>0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>
      <c r="A96" s="366" t="s">
        <v>449</v>
      </c>
      <c r="B96" s="24"/>
      <c r="C96" s="155"/>
      <c r="D96" s="24"/>
      <c r="E96" s="155"/>
      <c r="F96" s="24"/>
      <c r="G96" s="155"/>
      <c r="H96" s="24"/>
      <c r="I96" s="155"/>
      <c r="J96" s="24"/>
      <c r="K96" s="155"/>
      <c r="L96" s="24"/>
      <c r="M96" s="159"/>
      <c r="N96" s="367">
        <f t="shared" si="16"/>
        <v>0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</row>
    <row r="97" spans="1:69">
      <c r="A97" s="366" t="s">
        <v>543</v>
      </c>
      <c r="B97" s="24"/>
      <c r="C97" s="155"/>
      <c r="D97" s="24"/>
      <c r="E97" s="155"/>
      <c r="F97" s="24"/>
      <c r="G97" s="155"/>
      <c r="H97" s="24"/>
      <c r="I97" s="155"/>
      <c r="J97" s="24"/>
      <c r="K97" s="155"/>
      <c r="L97" s="24"/>
      <c r="M97" s="159"/>
      <c r="N97" s="367">
        <f t="shared" si="16"/>
        <v>0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spans="1:69">
      <c r="A98" s="366" t="s">
        <v>450</v>
      </c>
      <c r="B98" s="24"/>
      <c r="C98" s="155"/>
      <c r="D98" s="24"/>
      <c r="E98" s="155"/>
      <c r="F98" s="24"/>
      <c r="G98" s="155"/>
      <c r="H98" s="24"/>
      <c r="I98" s="155"/>
      <c r="J98" s="24"/>
      <c r="K98" s="155"/>
      <c r="L98" s="24"/>
      <c r="M98" s="159"/>
      <c r="N98" s="367">
        <f t="shared" si="16"/>
        <v>0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 spans="1:69">
      <c r="A99" s="366" t="s">
        <v>458</v>
      </c>
      <c r="B99" s="24"/>
      <c r="C99" s="155"/>
      <c r="D99" s="24"/>
      <c r="E99" s="155"/>
      <c r="F99" s="24"/>
      <c r="G99" s="155"/>
      <c r="H99" s="24"/>
      <c r="I99" s="155"/>
      <c r="J99" s="24"/>
      <c r="K99" s="155"/>
      <c r="L99" s="24"/>
      <c r="M99" s="159"/>
      <c r="N99" s="367">
        <f t="shared" si="16"/>
        <v>0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1:69">
      <c r="A100" s="366" t="s">
        <v>456</v>
      </c>
      <c r="B100" s="24"/>
      <c r="C100" s="155"/>
      <c r="D100" s="24"/>
      <c r="E100" s="155"/>
      <c r="F100" s="24"/>
      <c r="G100" s="155"/>
      <c r="H100" s="24"/>
      <c r="I100" s="155"/>
      <c r="J100" s="24"/>
      <c r="K100" s="155"/>
      <c r="L100" s="24"/>
      <c r="M100" s="159"/>
      <c r="N100" s="367">
        <f t="shared" si="16"/>
        <v>0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 spans="1:69">
      <c r="A101" s="366" t="s">
        <v>474</v>
      </c>
      <c r="B101" s="24"/>
      <c r="C101" s="155"/>
      <c r="D101" s="24"/>
      <c r="E101" s="155"/>
      <c r="F101" s="24"/>
      <c r="G101" s="155"/>
      <c r="H101" s="24"/>
      <c r="I101" s="155"/>
      <c r="J101" s="24"/>
      <c r="K101" s="155"/>
      <c r="L101" s="24"/>
      <c r="M101" s="159"/>
      <c r="N101" s="367">
        <f t="shared" si="16"/>
        <v>0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</row>
    <row r="102" spans="1:69">
      <c r="A102" s="377" t="s">
        <v>531</v>
      </c>
      <c r="B102" s="24"/>
      <c r="C102" s="155"/>
      <c r="D102" s="24"/>
      <c r="E102" s="155"/>
      <c r="F102" s="24"/>
      <c r="G102" s="155"/>
      <c r="H102" s="24"/>
      <c r="I102" s="155"/>
      <c r="J102" s="24"/>
      <c r="K102" s="155"/>
      <c r="L102" s="24"/>
      <c r="M102" s="159"/>
      <c r="N102" s="367">
        <f t="shared" si="16"/>
        <v>0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 spans="1:69">
      <c r="A103" s="377" t="s">
        <v>548</v>
      </c>
      <c r="B103" s="24"/>
      <c r="C103" s="155"/>
      <c r="D103" s="24"/>
      <c r="E103" s="155"/>
      <c r="F103" s="24"/>
      <c r="G103" s="155"/>
      <c r="H103" s="24"/>
      <c r="I103" s="155"/>
      <c r="J103" s="24"/>
      <c r="K103" s="155"/>
      <c r="L103" s="24"/>
      <c r="M103" s="159"/>
      <c r="N103" s="367">
        <f t="shared" si="16"/>
        <v>0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 spans="1:69">
      <c r="A104" s="377" t="s">
        <v>1163</v>
      </c>
      <c r="B104" s="24"/>
      <c r="C104" s="155"/>
      <c r="D104" s="24"/>
      <c r="E104" s="155"/>
      <c r="F104" s="24"/>
      <c r="G104" s="155"/>
      <c r="H104" s="24"/>
      <c r="I104" s="155"/>
      <c r="J104" s="24"/>
      <c r="K104" s="155"/>
      <c r="L104" s="24"/>
      <c r="M104" s="159"/>
      <c r="N104" s="367">
        <f t="shared" si="16"/>
        <v>0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 spans="1:69">
      <c r="A105" s="366" t="s">
        <v>534</v>
      </c>
      <c r="B105" s="24"/>
      <c r="C105" s="155"/>
      <c r="D105" s="24"/>
      <c r="E105" s="155"/>
      <c r="F105" s="24"/>
      <c r="G105" s="155"/>
      <c r="H105" s="24"/>
      <c r="I105" s="155"/>
      <c r="J105" s="24"/>
      <c r="K105" s="155"/>
      <c r="L105" s="24"/>
      <c r="M105" s="159"/>
      <c r="N105" s="367">
        <f t="shared" si="16"/>
        <v>0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</row>
    <row r="106" spans="1:69">
      <c r="A106" s="107" t="s">
        <v>603</v>
      </c>
      <c r="B106" s="24"/>
      <c r="C106" s="155"/>
      <c r="D106" s="24"/>
      <c r="E106" s="155"/>
      <c r="F106" s="24"/>
      <c r="G106" s="155"/>
      <c r="H106" s="24"/>
      <c r="I106" s="155"/>
      <c r="J106" s="24"/>
      <c r="K106" s="155"/>
      <c r="L106" s="24"/>
      <c r="M106" s="159"/>
      <c r="N106" s="367">
        <f t="shared" si="16"/>
        <v>0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</row>
    <row r="107" spans="1:69">
      <c r="A107" s="107" t="s">
        <v>599</v>
      </c>
      <c r="B107" s="24"/>
      <c r="C107" s="155"/>
      <c r="D107" s="24"/>
      <c r="E107" s="155"/>
      <c r="F107" s="24"/>
      <c r="G107" s="155"/>
      <c r="H107" s="24"/>
      <c r="I107" s="155"/>
      <c r="J107" s="24"/>
      <c r="K107" s="155"/>
      <c r="L107" s="24"/>
      <c r="M107" s="159"/>
      <c r="N107" s="367">
        <f t="shared" si="16"/>
        <v>0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</row>
    <row r="108" spans="1:69">
      <c r="A108" s="107" t="s">
        <v>600</v>
      </c>
      <c r="B108" s="24"/>
      <c r="C108" s="155"/>
      <c r="D108" s="24"/>
      <c r="E108" s="155"/>
      <c r="F108" s="24"/>
      <c r="G108" s="155"/>
      <c r="H108" s="24"/>
      <c r="I108" s="155"/>
      <c r="J108" s="24"/>
      <c r="K108" s="155"/>
      <c r="L108" s="24"/>
      <c r="M108" s="159"/>
      <c r="N108" s="367">
        <f t="shared" si="16"/>
        <v>0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</row>
    <row r="109" spans="1:69">
      <c r="A109" s="107" t="s">
        <v>612</v>
      </c>
      <c r="B109" s="24"/>
      <c r="C109" s="155"/>
      <c r="D109" s="24"/>
      <c r="E109" s="155"/>
      <c r="F109" s="24"/>
      <c r="G109" s="155"/>
      <c r="H109" s="24"/>
      <c r="I109" s="155"/>
      <c r="J109" s="24"/>
      <c r="K109" s="155"/>
      <c r="L109" s="24"/>
      <c r="M109" s="159"/>
      <c r="N109" s="367">
        <f t="shared" si="16"/>
        <v>0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</row>
    <row r="110" spans="1:69">
      <c r="A110" s="107" t="s">
        <v>610</v>
      </c>
      <c r="B110" s="24"/>
      <c r="C110" s="155"/>
      <c r="D110" s="24"/>
      <c r="E110" s="155"/>
      <c r="F110" s="24"/>
      <c r="G110" s="155"/>
      <c r="H110" s="24"/>
      <c r="I110" s="155"/>
      <c r="J110" s="24"/>
      <c r="K110" s="155"/>
      <c r="L110" s="24"/>
      <c r="M110" s="159"/>
      <c r="N110" s="367">
        <f t="shared" si="16"/>
        <v>0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 spans="1:69">
      <c r="A111" s="368" t="s">
        <v>25</v>
      </c>
      <c r="B111" s="22">
        <v>0</v>
      </c>
      <c r="C111" s="90">
        <v>0</v>
      </c>
      <c r="D111" s="22">
        <v>0</v>
      </c>
      <c r="E111" s="90">
        <v>0</v>
      </c>
      <c r="F111" s="22">
        <v>0</v>
      </c>
      <c r="G111" s="90">
        <v>0</v>
      </c>
      <c r="H111" s="22">
        <v>0</v>
      </c>
      <c r="I111" s="90">
        <v>0</v>
      </c>
      <c r="J111" s="22">
        <v>0</v>
      </c>
      <c r="K111" s="90">
        <v>0</v>
      </c>
      <c r="L111" s="22">
        <v>0</v>
      </c>
      <c r="M111" s="160">
        <v>0</v>
      </c>
      <c r="N111" s="369">
        <f>SUM(B111:M111)</f>
        <v>0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</row>
    <row r="112" spans="1:69">
      <c r="A112" s="377"/>
      <c r="B112" s="24"/>
      <c r="C112" s="155"/>
      <c r="D112" s="24"/>
      <c r="E112" s="155"/>
      <c r="F112" s="24"/>
      <c r="G112" s="155"/>
      <c r="H112" s="24"/>
      <c r="I112" s="155"/>
      <c r="J112" s="24"/>
      <c r="K112" s="155"/>
      <c r="L112" s="24"/>
      <c r="M112" s="159"/>
      <c r="N112" s="367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</row>
    <row r="113" spans="1:69">
      <c r="A113" s="368" t="s">
        <v>23</v>
      </c>
      <c r="B113" s="22">
        <f>SUM(B114:B118)</f>
        <v>45000000</v>
      </c>
      <c r="C113" s="90">
        <f t="shared" ref="C113:M113" si="17">SUM(C114:C118)</f>
        <v>25000000</v>
      </c>
      <c r="D113" s="22">
        <f t="shared" si="17"/>
        <v>11097484.33</v>
      </c>
      <c r="E113" s="90">
        <f t="shared" si="17"/>
        <v>0</v>
      </c>
      <c r="F113" s="22">
        <f t="shared" si="17"/>
        <v>0</v>
      </c>
      <c r="G113" s="90">
        <f t="shared" si="17"/>
        <v>0</v>
      </c>
      <c r="H113" s="22">
        <f t="shared" si="17"/>
        <v>0</v>
      </c>
      <c r="I113" s="90">
        <f t="shared" si="17"/>
        <v>0</v>
      </c>
      <c r="J113" s="22">
        <f t="shared" si="17"/>
        <v>0</v>
      </c>
      <c r="K113" s="90">
        <f t="shared" si="17"/>
        <v>0</v>
      </c>
      <c r="L113" s="22">
        <f t="shared" si="17"/>
        <v>0</v>
      </c>
      <c r="M113" s="160">
        <f t="shared" si="17"/>
        <v>0</v>
      </c>
      <c r="N113" s="369">
        <f>SUM(N114:N118)</f>
        <v>81097484.329999998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</row>
    <row r="114" spans="1:69">
      <c r="A114" s="377" t="s">
        <v>161</v>
      </c>
      <c r="B114" s="24">
        <v>45000000</v>
      </c>
      <c r="C114" s="155">
        <v>25000000</v>
      </c>
      <c r="D114" s="24">
        <v>11097484.33</v>
      </c>
      <c r="E114" s="155">
        <v>0</v>
      </c>
      <c r="F114" s="24">
        <v>0</v>
      </c>
      <c r="G114" s="155">
        <v>0</v>
      </c>
      <c r="H114" s="24">
        <v>0</v>
      </c>
      <c r="I114" s="155">
        <v>0</v>
      </c>
      <c r="J114" s="24">
        <v>0</v>
      </c>
      <c r="K114" s="155">
        <v>0</v>
      </c>
      <c r="L114" s="24">
        <v>0</v>
      </c>
      <c r="M114" s="159">
        <v>0</v>
      </c>
      <c r="N114" s="367">
        <f>SUM(B114:M114)</f>
        <v>81097484.329999998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</row>
    <row r="115" spans="1:69">
      <c r="A115" s="377" t="s">
        <v>162</v>
      </c>
      <c r="B115" s="24"/>
      <c r="C115" s="155"/>
      <c r="D115" s="24"/>
      <c r="E115" s="155"/>
      <c r="F115" s="24"/>
      <c r="G115" s="155"/>
      <c r="H115" s="24"/>
      <c r="I115" s="155"/>
      <c r="J115" s="24"/>
      <c r="K115" s="155"/>
      <c r="L115" s="24"/>
      <c r="M115" s="159"/>
      <c r="N115" s="367">
        <f>SUM(B115:M115)</f>
        <v>0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</row>
    <row r="116" spans="1:69">
      <c r="A116" s="377" t="s">
        <v>163</v>
      </c>
      <c r="B116" s="24"/>
      <c r="C116" s="155"/>
      <c r="D116" s="24"/>
      <c r="E116" s="155"/>
      <c r="F116" s="24"/>
      <c r="G116" s="155"/>
      <c r="H116" s="24"/>
      <c r="I116" s="155"/>
      <c r="J116" s="24"/>
      <c r="K116" s="155"/>
      <c r="L116" s="24"/>
      <c r="M116" s="159"/>
      <c r="N116" s="367">
        <f>SUM(B116:M116)</f>
        <v>0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</row>
    <row r="117" spans="1:69">
      <c r="A117" s="377" t="s">
        <v>346</v>
      </c>
      <c r="B117" s="24"/>
      <c r="C117" s="155"/>
      <c r="D117" s="24"/>
      <c r="E117" s="155"/>
      <c r="F117" s="24"/>
      <c r="G117" s="155"/>
      <c r="H117" s="24"/>
      <c r="I117" s="155"/>
      <c r="J117" s="24"/>
      <c r="K117" s="155"/>
      <c r="L117" s="24"/>
      <c r="M117" s="159"/>
      <c r="N117" s="367">
        <f>SUM(B117:M117)</f>
        <v>0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</row>
    <row r="118" spans="1:69">
      <c r="A118" s="366" t="s">
        <v>398</v>
      </c>
      <c r="B118" s="24"/>
      <c r="C118" s="155"/>
      <c r="D118" s="24"/>
      <c r="E118" s="155"/>
      <c r="F118" s="24"/>
      <c r="G118" s="155"/>
      <c r="H118" s="24"/>
      <c r="I118" s="155"/>
      <c r="J118" s="24"/>
      <c r="K118" s="155"/>
      <c r="L118" s="24"/>
      <c r="M118" s="159"/>
      <c r="N118" s="367">
        <f>SUM(B118:M118)</f>
        <v>0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</row>
    <row r="119" spans="1:69">
      <c r="A119" s="377"/>
      <c r="B119" s="24"/>
      <c r="C119" s="155"/>
      <c r="D119" s="24"/>
      <c r="E119" s="155"/>
      <c r="F119" s="24"/>
      <c r="G119" s="155"/>
      <c r="H119" s="24"/>
      <c r="I119" s="155"/>
      <c r="J119" s="24"/>
      <c r="K119" s="155"/>
      <c r="L119" s="24"/>
      <c r="M119" s="159"/>
      <c r="N119" s="367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</row>
    <row r="120" spans="1:69">
      <c r="A120" s="368" t="s">
        <v>26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43">
        <v>0</v>
      </c>
      <c r="L120" s="22">
        <v>0</v>
      </c>
      <c r="M120" s="160">
        <v>0</v>
      </c>
      <c r="N120" s="369">
        <f>SUM(B120:M120)</f>
        <v>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</row>
    <row r="121" spans="1:69">
      <c r="A121" s="387"/>
      <c r="B121" s="25"/>
      <c r="C121" s="157"/>
      <c r="D121" s="25"/>
      <c r="E121" s="157"/>
      <c r="F121" s="25"/>
      <c r="G121" s="157"/>
      <c r="H121" s="25"/>
      <c r="I121" s="157"/>
      <c r="J121" s="25"/>
      <c r="K121" s="157"/>
      <c r="L121" s="25"/>
      <c r="M121" s="156"/>
      <c r="N121" s="37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</row>
    <row r="122" spans="1:69">
      <c r="A122" s="377"/>
      <c r="B122" s="388"/>
      <c r="C122" s="388"/>
      <c r="D122" s="388"/>
      <c r="E122" s="155"/>
      <c r="F122" s="155"/>
      <c r="G122" s="155"/>
      <c r="H122" s="155"/>
      <c r="I122" s="155"/>
      <c r="J122" s="155"/>
      <c r="K122" s="155"/>
      <c r="L122" s="155"/>
      <c r="M122" s="155"/>
      <c r="N122" s="389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</row>
    <row r="123" spans="1:69" s="391" customFormat="1" ht="33.75" customHeight="1" thickBot="1">
      <c r="A123" s="424" t="s">
        <v>38</v>
      </c>
      <c r="B123" s="425">
        <f t="shared" ref="B123:N123" si="18">SUM(B120+B113+B111+B81+B79+B72+B65+B55+B46+B33+B28+B14+B6)</f>
        <v>158848904</v>
      </c>
      <c r="C123" s="425">
        <f t="shared" si="18"/>
        <v>101497904</v>
      </c>
      <c r="D123" s="425">
        <f t="shared" si="18"/>
        <v>85317388.329999998</v>
      </c>
      <c r="E123" s="425">
        <f t="shared" si="18"/>
        <v>68663904</v>
      </c>
      <c r="F123" s="425">
        <f t="shared" si="18"/>
        <v>67962904</v>
      </c>
      <c r="G123" s="425">
        <f t="shared" si="18"/>
        <v>61345959</v>
      </c>
      <c r="H123" s="425">
        <f t="shared" si="18"/>
        <v>61777904</v>
      </c>
      <c r="I123" s="425">
        <f t="shared" si="18"/>
        <v>56384327</v>
      </c>
      <c r="J123" s="425">
        <f t="shared" si="18"/>
        <v>58548904</v>
      </c>
      <c r="K123" s="425">
        <f t="shared" si="18"/>
        <v>62613904</v>
      </c>
      <c r="L123" s="425">
        <f t="shared" si="18"/>
        <v>56731904</v>
      </c>
      <c r="M123" s="425">
        <f t="shared" si="18"/>
        <v>52378421.32</v>
      </c>
      <c r="N123" s="432">
        <f t="shared" si="18"/>
        <v>892072327.64999998</v>
      </c>
      <c r="O123" s="390"/>
      <c r="P123" s="390"/>
      <c r="Q123" s="390"/>
      <c r="R123" s="390"/>
      <c r="S123" s="390"/>
      <c r="T123" s="390"/>
      <c r="U123" s="390"/>
      <c r="V123" s="390"/>
      <c r="W123" s="390"/>
      <c r="X123" s="390"/>
      <c r="Y123" s="390"/>
      <c r="Z123" s="390"/>
      <c r="AA123" s="390"/>
      <c r="AB123" s="390"/>
      <c r="AC123" s="390"/>
      <c r="AD123" s="390"/>
      <c r="AE123" s="390"/>
      <c r="AF123" s="390"/>
      <c r="AG123" s="390"/>
      <c r="AH123" s="390"/>
      <c r="AI123" s="390"/>
      <c r="AJ123" s="390"/>
      <c r="AK123" s="390"/>
      <c r="AL123" s="390"/>
      <c r="AM123" s="390"/>
      <c r="AN123" s="390"/>
      <c r="AO123" s="390"/>
      <c r="AP123" s="390"/>
      <c r="AQ123" s="390"/>
      <c r="AR123" s="390"/>
      <c r="AS123" s="390"/>
      <c r="AT123" s="390"/>
      <c r="AU123" s="390"/>
      <c r="AV123" s="390"/>
      <c r="AW123" s="390"/>
      <c r="AX123" s="390"/>
      <c r="AY123" s="390"/>
      <c r="AZ123" s="390"/>
      <c r="BA123" s="390"/>
      <c r="BB123" s="390"/>
      <c r="BC123" s="390"/>
      <c r="BD123" s="390"/>
      <c r="BE123" s="390"/>
      <c r="BF123" s="390"/>
      <c r="BG123" s="390"/>
      <c r="BH123" s="390"/>
      <c r="BI123" s="390"/>
      <c r="BJ123" s="390"/>
      <c r="BK123" s="390"/>
      <c r="BL123" s="390"/>
      <c r="BM123" s="390"/>
      <c r="BN123" s="390"/>
      <c r="BO123" s="390"/>
      <c r="BP123" s="390"/>
      <c r="BQ123" s="390"/>
    </row>
    <row r="124" spans="1:69">
      <c r="B124" s="1"/>
      <c r="C124" s="1"/>
      <c r="D124" s="1"/>
      <c r="E124" s="158"/>
      <c r="F124" s="158"/>
      <c r="G124" s="158"/>
      <c r="H124" s="158"/>
      <c r="I124" s="158"/>
      <c r="J124" s="158"/>
      <c r="K124" s="158"/>
      <c r="L124" s="158"/>
      <c r="M124" s="158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</row>
    <row r="125" spans="1:69">
      <c r="B125" s="1"/>
      <c r="C125" s="1"/>
      <c r="D125" s="1"/>
      <c r="E125" s="158"/>
      <c r="F125" s="158"/>
      <c r="G125" s="158"/>
      <c r="H125" s="158"/>
      <c r="I125" s="158"/>
      <c r="K125" s="158"/>
      <c r="L125" s="158"/>
      <c r="M125" s="158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</row>
    <row r="126" spans="1:69">
      <c r="B126" s="1"/>
      <c r="C126" s="1"/>
      <c r="D126" s="1"/>
      <c r="E126" s="158"/>
      <c r="F126" s="158"/>
      <c r="G126" s="158"/>
      <c r="H126" s="158"/>
      <c r="I126" s="158"/>
      <c r="J126" s="158"/>
      <c r="K126" s="158"/>
      <c r="L126" s="158"/>
      <c r="M126" s="158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</row>
    <row r="127" spans="1:69">
      <c r="B127" s="1"/>
      <c r="C127" s="1"/>
      <c r="D127" s="1"/>
      <c r="E127" s="158"/>
      <c r="F127" s="158"/>
      <c r="G127" s="158"/>
      <c r="H127" s="158"/>
      <c r="I127" s="158"/>
      <c r="J127" s="158"/>
      <c r="K127" s="158"/>
      <c r="L127" s="158"/>
      <c r="M127" s="158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</row>
    <row r="128" spans="1:69">
      <c r="B128" s="1"/>
      <c r="C128" s="1"/>
      <c r="D128" s="1"/>
      <c r="E128" s="158"/>
      <c r="F128" s="158"/>
      <c r="G128" s="158"/>
      <c r="H128" s="158"/>
      <c r="I128" s="158"/>
      <c r="J128" s="158"/>
      <c r="K128" s="158"/>
      <c r="L128" s="158"/>
      <c r="M128" s="158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</row>
    <row r="129" spans="2:69">
      <c r="B129" s="1"/>
      <c r="C129" s="1"/>
      <c r="D129" s="1"/>
      <c r="E129" s="158"/>
      <c r="F129" s="158"/>
      <c r="G129" s="158"/>
      <c r="H129" s="158"/>
      <c r="I129" s="158"/>
      <c r="J129" s="158"/>
      <c r="K129" s="158"/>
      <c r="L129" s="158"/>
      <c r="M129" s="158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</row>
    <row r="130" spans="2:69">
      <c r="B130" s="1"/>
      <c r="C130" s="1"/>
      <c r="D130" s="1"/>
      <c r="E130" s="158"/>
      <c r="F130" s="158"/>
      <c r="G130" s="158"/>
      <c r="H130" s="158"/>
      <c r="I130" s="158"/>
      <c r="J130" s="158"/>
      <c r="K130" s="158"/>
      <c r="L130" s="158"/>
      <c r="M130" s="158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</row>
    <row r="131" spans="2:69">
      <c r="B131" s="1"/>
      <c r="C131" s="1"/>
      <c r="D131" s="1"/>
      <c r="E131" s="158"/>
      <c r="F131" s="158"/>
      <c r="G131" s="158"/>
      <c r="H131" s="158"/>
      <c r="I131" s="158"/>
      <c r="J131" s="158"/>
      <c r="K131" s="158"/>
      <c r="L131" s="158"/>
      <c r="M131" s="158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</row>
    <row r="132" spans="2:69">
      <c r="B132" s="1"/>
      <c r="C132" s="1"/>
      <c r="D132" s="1"/>
      <c r="E132" s="158"/>
      <c r="F132" s="158"/>
      <c r="G132" s="158"/>
      <c r="H132" s="158"/>
      <c r="I132" s="158"/>
      <c r="J132" s="158"/>
      <c r="K132" s="158"/>
      <c r="L132" s="158"/>
      <c r="M132" s="158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</row>
    <row r="133" spans="2:69">
      <c r="B133" s="1"/>
      <c r="C133" s="1"/>
      <c r="D133" s="1"/>
      <c r="E133" s="158"/>
      <c r="F133" s="158"/>
      <c r="G133" s="158"/>
      <c r="H133" s="158"/>
      <c r="I133" s="158"/>
      <c r="J133" s="158"/>
      <c r="K133" s="158"/>
      <c r="L133" s="158"/>
      <c r="M133" s="158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</row>
    <row r="134" spans="2:69">
      <c r="B134" s="1"/>
      <c r="C134" s="1"/>
      <c r="D134" s="1"/>
      <c r="E134" s="158"/>
      <c r="F134" s="158"/>
      <c r="G134" s="158"/>
      <c r="H134" s="158"/>
      <c r="I134" s="158"/>
      <c r="J134" s="158"/>
      <c r="K134" s="158"/>
      <c r="L134" s="158"/>
      <c r="M134" s="158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</row>
    <row r="135" spans="2:69">
      <c r="B135" s="1"/>
      <c r="C135" s="1"/>
      <c r="D135" s="1"/>
      <c r="E135" s="158"/>
      <c r="F135" s="158"/>
      <c r="G135" s="158"/>
      <c r="H135" s="158"/>
      <c r="I135" s="158"/>
      <c r="J135" s="158"/>
      <c r="K135" s="158"/>
      <c r="L135" s="158"/>
      <c r="M135" s="158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</row>
    <row r="136" spans="2:69">
      <c r="B136" s="1"/>
      <c r="C136" s="1"/>
      <c r="D136" s="1"/>
      <c r="E136" s="158"/>
      <c r="F136" s="158"/>
      <c r="G136" s="158"/>
      <c r="H136" s="158"/>
      <c r="I136" s="158"/>
      <c r="J136" s="158"/>
      <c r="K136" s="158"/>
      <c r="L136" s="158"/>
      <c r="M136" s="158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</row>
    <row r="137" spans="2:69">
      <c r="B137" s="1"/>
      <c r="C137" s="1"/>
      <c r="D137" s="1"/>
      <c r="E137" s="158"/>
      <c r="F137" s="158"/>
      <c r="G137" s="158"/>
      <c r="H137" s="158"/>
      <c r="I137" s="158"/>
      <c r="J137" s="158"/>
      <c r="K137" s="158"/>
      <c r="L137" s="158"/>
      <c r="M137" s="158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</row>
    <row r="138" spans="2:69">
      <c r="B138" s="1"/>
      <c r="C138" s="1"/>
      <c r="D138" s="1"/>
      <c r="E138" s="158"/>
      <c r="F138" s="158"/>
      <c r="G138" s="158"/>
      <c r="H138" s="158"/>
      <c r="I138" s="158"/>
      <c r="J138" s="158"/>
      <c r="K138" s="158"/>
      <c r="L138" s="158"/>
      <c r="M138" s="158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</row>
    <row r="139" spans="2:69">
      <c r="B139" s="1"/>
      <c r="C139" s="1"/>
      <c r="D139" s="1"/>
      <c r="E139" s="158"/>
      <c r="F139" s="158"/>
      <c r="G139" s="158"/>
      <c r="H139" s="158"/>
      <c r="I139" s="158"/>
      <c r="J139" s="158"/>
      <c r="K139" s="158"/>
      <c r="L139" s="158"/>
      <c r="M139" s="158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</row>
    <row r="140" spans="2:69">
      <c r="B140" s="1"/>
      <c r="C140" s="1"/>
      <c r="D140" s="1"/>
      <c r="E140" s="158"/>
      <c r="F140" s="158"/>
      <c r="G140" s="158"/>
      <c r="H140" s="158"/>
      <c r="I140" s="158"/>
      <c r="J140" s="158"/>
      <c r="K140" s="158"/>
      <c r="L140" s="158"/>
      <c r="M140" s="158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</row>
    <row r="141" spans="2:69">
      <c r="B141" s="1"/>
      <c r="C141" s="1"/>
      <c r="D141" s="1"/>
      <c r="E141" s="158"/>
      <c r="F141" s="158"/>
      <c r="G141" s="158"/>
      <c r="H141" s="158"/>
      <c r="I141" s="158"/>
      <c r="J141" s="158"/>
      <c r="K141" s="158"/>
      <c r="L141" s="158"/>
      <c r="M141" s="158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</row>
    <row r="142" spans="2:69">
      <c r="B142" s="1"/>
      <c r="C142" s="1"/>
      <c r="D142" s="1"/>
      <c r="E142" s="158"/>
      <c r="F142" s="158"/>
      <c r="G142" s="158"/>
      <c r="H142" s="158"/>
      <c r="I142" s="158"/>
      <c r="J142" s="158"/>
      <c r="K142" s="158"/>
      <c r="L142" s="158"/>
      <c r="M142" s="158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</row>
    <row r="143" spans="2:69">
      <c r="B143" s="1"/>
      <c r="C143" s="1"/>
      <c r="D143" s="1"/>
      <c r="E143" s="158"/>
      <c r="F143" s="158"/>
      <c r="G143" s="158"/>
      <c r="H143" s="158"/>
      <c r="I143" s="158"/>
      <c r="J143" s="158"/>
      <c r="K143" s="158"/>
      <c r="L143" s="158"/>
      <c r="M143" s="158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</row>
    <row r="144" spans="2:69">
      <c r="B144" s="1"/>
      <c r="C144" s="1"/>
      <c r="D144" s="1"/>
      <c r="E144" s="158"/>
      <c r="F144" s="158"/>
      <c r="G144" s="158"/>
      <c r="H144" s="158"/>
      <c r="I144" s="158"/>
      <c r="J144" s="158"/>
      <c r="K144" s="158"/>
      <c r="L144" s="158"/>
      <c r="M144" s="158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</row>
    <row r="145" spans="2:69">
      <c r="B145" s="1"/>
      <c r="C145" s="1"/>
      <c r="D145" s="1"/>
      <c r="E145" s="158"/>
      <c r="F145" s="158"/>
      <c r="G145" s="158"/>
      <c r="H145" s="158"/>
      <c r="I145" s="158"/>
      <c r="J145" s="158"/>
      <c r="K145" s="158"/>
      <c r="L145" s="158"/>
      <c r="M145" s="158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</row>
    <row r="146" spans="2:69">
      <c r="B146" s="1"/>
      <c r="C146" s="1"/>
      <c r="D146" s="1"/>
      <c r="E146" s="158"/>
      <c r="F146" s="158"/>
      <c r="G146" s="158"/>
      <c r="H146" s="158"/>
      <c r="I146" s="158"/>
      <c r="J146" s="158"/>
      <c r="K146" s="158"/>
      <c r="L146" s="158"/>
      <c r="M146" s="158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</row>
    <row r="147" spans="2:69">
      <c r="B147" s="1"/>
      <c r="C147" s="1"/>
      <c r="D147" s="1"/>
      <c r="E147" s="158"/>
      <c r="F147" s="158"/>
      <c r="G147" s="158"/>
      <c r="H147" s="158"/>
      <c r="I147" s="158"/>
      <c r="J147" s="158"/>
      <c r="K147" s="158"/>
      <c r="L147" s="158"/>
      <c r="M147" s="158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</row>
  </sheetData>
  <mergeCells count="3">
    <mergeCell ref="A2:N2"/>
    <mergeCell ref="A3:N3"/>
    <mergeCell ref="A1:N1"/>
  </mergeCells>
  <phoneticPr fontId="7" type="noConversion"/>
  <printOptions horizontalCentered="1"/>
  <pageMargins left="0.27559055118110237" right="0.74803149606299213" top="0.15748031496062992" bottom="0.15748031496062992" header="0.15748031496062992" footer="0"/>
  <pageSetup paperSize="8" scale="80" firstPageNumber="5" orientation="landscape" useFirstPageNumber="1" r:id="rId1"/>
  <headerFooter alignWithMargins="0"/>
  <rowBreaks count="1" manualBreakCount="1">
    <brk id="79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selection activeCell="A21" sqref="A21:F21"/>
    </sheetView>
  </sheetViews>
  <sheetFormatPr baseColWidth="10" defaultRowHeight="12.75"/>
  <cols>
    <col min="1" max="1" width="37" bestFit="1" customWidth="1"/>
    <col min="2" max="5" width="14.85546875" customWidth="1"/>
    <col min="6" max="6" width="40.140625" customWidth="1"/>
  </cols>
  <sheetData>
    <row r="1" spans="1:6" ht="15.75">
      <c r="A1" s="336" t="s">
        <v>366</v>
      </c>
      <c r="B1" s="336"/>
      <c r="C1" s="336"/>
      <c r="D1" s="336"/>
      <c r="E1" s="336"/>
      <c r="F1" s="336"/>
    </row>
    <row r="2" spans="1:6">
      <c r="A2" s="335" t="s">
        <v>1131</v>
      </c>
      <c r="B2" s="335"/>
      <c r="C2" s="335"/>
      <c r="D2" s="335"/>
      <c r="E2" s="335"/>
      <c r="F2" s="335"/>
    </row>
    <row r="3" spans="1:6">
      <c r="A3" s="335" t="s">
        <v>206</v>
      </c>
      <c r="B3" s="335"/>
      <c r="C3" s="335"/>
      <c r="D3" s="335"/>
      <c r="E3" s="335"/>
      <c r="F3" s="335"/>
    </row>
    <row r="4" spans="1:6" ht="13.5" thickBot="1"/>
    <row r="5" spans="1:6" ht="13.5" thickBot="1">
      <c r="A5" s="438" t="s">
        <v>0</v>
      </c>
      <c r="B5" s="439" t="s">
        <v>208</v>
      </c>
      <c r="C5" s="440"/>
      <c r="D5" s="441" t="s">
        <v>40</v>
      </c>
      <c r="E5" s="441" t="s">
        <v>41</v>
      </c>
      <c r="F5" s="438" t="s">
        <v>238</v>
      </c>
    </row>
    <row r="6" spans="1:6" ht="13.5" thickBot="1">
      <c r="A6" s="442"/>
      <c r="B6" s="443">
        <v>2010</v>
      </c>
      <c r="C6" s="443">
        <v>2011</v>
      </c>
      <c r="D6" s="443">
        <v>2011</v>
      </c>
      <c r="E6" s="443"/>
      <c r="F6" s="444"/>
    </row>
    <row r="7" spans="1:6" ht="13.5" thickBot="1"/>
    <row r="8" spans="1:6">
      <c r="A8" s="183"/>
      <c r="B8" s="116"/>
      <c r="C8" s="209"/>
      <c r="D8" s="116"/>
      <c r="E8" s="116"/>
      <c r="F8" s="182"/>
    </row>
    <row r="9" spans="1:6">
      <c r="A9" s="103" t="s">
        <v>292</v>
      </c>
      <c r="B9" s="250">
        <f>VLOOKUP($A9,[1]FISM!$A$10:$I$18,7,0)</f>
        <v>11641199.9</v>
      </c>
      <c r="C9" s="120">
        <f>SUM('Ingresos Reales'!N66)</f>
        <v>12848930.4</v>
      </c>
      <c r="D9" s="24">
        <f>SUM('Presupuesto Ingresos'!N66)</f>
        <v>12652423</v>
      </c>
      <c r="E9" s="96">
        <f>SUM(C9-D9)</f>
        <v>196507.40000000037</v>
      </c>
      <c r="F9" s="104"/>
    </row>
    <row r="10" spans="1:6">
      <c r="A10" s="103"/>
      <c r="B10" s="250"/>
      <c r="C10" s="120"/>
      <c r="D10" s="24"/>
      <c r="E10" s="96"/>
      <c r="F10" s="104"/>
    </row>
    <row r="11" spans="1:6">
      <c r="A11" s="265" t="s">
        <v>475</v>
      </c>
      <c r="B11" s="250">
        <f>VLOOKUP($A11,[1]FISM!$A$10:$I$18,7,0)</f>
        <v>132228.27000000002</v>
      </c>
      <c r="C11" s="120">
        <f>SUM('Ingresos Reales'!N67)</f>
        <v>1417.4099999999999</v>
      </c>
      <c r="D11" s="24">
        <f>SUM('Presupuesto Ingresos'!N67)</f>
        <v>0</v>
      </c>
      <c r="E11" s="96">
        <f>SUM(C11-D11)</f>
        <v>1417.4099999999999</v>
      </c>
      <c r="F11" s="104"/>
    </row>
    <row r="12" spans="1:6">
      <c r="A12" s="103"/>
      <c r="B12" s="250"/>
      <c r="C12" s="120"/>
      <c r="D12" s="24"/>
      <c r="E12" s="96"/>
      <c r="F12" s="104"/>
    </row>
    <row r="13" spans="1:6">
      <c r="A13" s="265" t="s">
        <v>476</v>
      </c>
      <c r="B13" s="250">
        <f>VLOOKUP($A13,[1]FISM!$A$10:$I$18,7,0)</f>
        <v>10370</v>
      </c>
      <c r="C13" s="120">
        <f>SUM('Ingresos Reales'!N68)</f>
        <v>10316.15</v>
      </c>
      <c r="D13" s="24">
        <f>SUM('Presupuesto Ingresos'!N68)</f>
        <v>0</v>
      </c>
      <c r="E13" s="96">
        <f>SUM(C13-D13)</f>
        <v>10316.15</v>
      </c>
      <c r="F13" s="104"/>
    </row>
    <row r="14" spans="1:6">
      <c r="A14" s="103"/>
      <c r="B14" s="250"/>
      <c r="C14" s="120"/>
      <c r="D14" s="24"/>
      <c r="E14" s="96"/>
      <c r="F14" s="104"/>
    </row>
    <row r="15" spans="1:6">
      <c r="A15" s="253" t="s">
        <v>477</v>
      </c>
      <c r="B15" s="250">
        <f>VLOOKUP($A15,[1]FISM!$A$10:$I$18,7,0)</f>
        <v>130272.25000000001</v>
      </c>
      <c r="C15" s="120">
        <f>SUM('Ingresos Reales'!N69)</f>
        <v>40163.030000000006</v>
      </c>
      <c r="D15" s="24">
        <f>SUM('Presupuesto Ingresos'!N69)</f>
        <v>0</v>
      </c>
      <c r="E15" s="96">
        <f>SUM(C15-D15)</f>
        <v>40163.030000000006</v>
      </c>
      <c r="F15" s="104"/>
    </row>
    <row r="16" spans="1:6">
      <c r="A16" s="265"/>
      <c r="B16" s="250"/>
      <c r="C16" s="120"/>
      <c r="D16" s="24"/>
      <c r="E16" s="96"/>
      <c r="F16" s="104"/>
    </row>
    <row r="17" spans="1:6">
      <c r="A17" s="253" t="s">
        <v>566</v>
      </c>
      <c r="B17" s="250">
        <f>VLOOKUP($A17,[1]FISM!$A$10:$I$18,7,0)</f>
        <v>9509.93</v>
      </c>
      <c r="C17" s="120">
        <f>SUM('Ingresos Reales'!N70)</f>
        <v>7787.83</v>
      </c>
      <c r="D17" s="24">
        <f>SUM('Presupuesto Ingresos'!N70)</f>
        <v>0</v>
      </c>
      <c r="E17" s="96">
        <f>SUM(C17-D17)</f>
        <v>7787.83</v>
      </c>
      <c r="F17" s="104"/>
    </row>
    <row r="18" spans="1:6">
      <c r="A18" s="253"/>
      <c r="B18" s="250"/>
      <c r="C18" s="120"/>
      <c r="D18" s="24"/>
      <c r="E18" s="96"/>
      <c r="F18" s="104"/>
    </row>
    <row r="19" spans="1:6">
      <c r="A19" s="253" t="s">
        <v>1139</v>
      </c>
      <c r="B19" s="250">
        <v>0</v>
      </c>
      <c r="C19" s="120">
        <f>SUM('Ingresos Reales'!N71)</f>
        <v>107946.18000000001</v>
      </c>
      <c r="D19" s="24">
        <f>SUM('Presupuesto Ingresos'!N71)</f>
        <v>276000</v>
      </c>
      <c r="E19" s="96">
        <f>SUM(C19-D19)</f>
        <v>-168053.82</v>
      </c>
      <c r="F19" s="104"/>
    </row>
    <row r="20" spans="1:6">
      <c r="A20" s="103"/>
      <c r="B20" s="10"/>
      <c r="C20" s="45"/>
      <c r="D20" s="9"/>
      <c r="E20" s="9"/>
      <c r="F20" s="104"/>
    </row>
    <row r="21" spans="1:6" ht="24.75" customHeight="1">
      <c r="A21" s="436" t="s">
        <v>4</v>
      </c>
      <c r="B21" s="437">
        <f>SUM(B8:B19)</f>
        <v>11923580.35</v>
      </c>
      <c r="C21" s="460">
        <f t="shared" ref="C21:E21" si="0">SUM(C8:C19)</f>
        <v>13016561</v>
      </c>
      <c r="D21" s="437">
        <f t="shared" si="0"/>
        <v>12928423</v>
      </c>
      <c r="E21" s="461">
        <f t="shared" si="0"/>
        <v>88138.000000000349</v>
      </c>
      <c r="F21" s="462"/>
    </row>
    <row r="22" spans="1:6">
      <c r="A22" s="103"/>
      <c r="B22" s="14"/>
      <c r="C22" s="14"/>
      <c r="D22" s="14"/>
      <c r="E22" s="14"/>
      <c r="F22" s="104"/>
    </row>
    <row r="23" spans="1:6">
      <c r="A23" s="103"/>
      <c r="B23" s="14"/>
      <c r="C23" s="14"/>
      <c r="D23" s="14"/>
      <c r="E23" s="14"/>
      <c r="F23" s="104"/>
    </row>
    <row r="24" spans="1:6">
      <c r="A24" s="103"/>
      <c r="B24" s="14"/>
      <c r="C24" s="14"/>
      <c r="D24" s="14"/>
      <c r="E24" s="14"/>
      <c r="F24" s="104"/>
    </row>
    <row r="25" spans="1:6">
      <c r="A25" s="103"/>
      <c r="B25" s="14"/>
      <c r="C25" s="14"/>
      <c r="D25" s="14"/>
      <c r="E25" s="14"/>
      <c r="F25" s="104"/>
    </row>
    <row r="26" spans="1:6">
      <c r="A26" s="103"/>
      <c r="B26" s="14"/>
      <c r="C26" s="14"/>
      <c r="D26" s="14"/>
      <c r="E26" s="14"/>
      <c r="F26" s="104"/>
    </row>
    <row r="27" spans="1:6">
      <c r="A27" s="103"/>
      <c r="B27" s="14"/>
      <c r="C27" s="14"/>
      <c r="D27" s="14"/>
      <c r="E27" s="14"/>
      <c r="F27" s="104"/>
    </row>
    <row r="28" spans="1:6">
      <c r="A28" s="103"/>
      <c r="B28" s="14"/>
      <c r="C28" s="14"/>
      <c r="D28" s="14"/>
      <c r="E28" s="14"/>
      <c r="F28" s="104"/>
    </row>
    <row r="29" spans="1:6">
      <c r="A29" s="103"/>
      <c r="B29" s="14"/>
      <c r="C29" s="14"/>
      <c r="D29" s="14"/>
      <c r="E29" s="14"/>
      <c r="F29" s="104"/>
    </row>
    <row r="30" spans="1:6">
      <c r="A30" s="103"/>
      <c r="B30" s="14"/>
      <c r="C30" s="14"/>
      <c r="D30" s="14"/>
      <c r="E30" s="14"/>
      <c r="F30" s="104"/>
    </row>
    <row r="31" spans="1:6">
      <c r="A31" s="103"/>
      <c r="B31" s="14"/>
      <c r="C31" s="14"/>
      <c r="D31" s="14"/>
      <c r="E31" s="14"/>
      <c r="F31" s="104"/>
    </row>
    <row r="32" spans="1:6">
      <c r="A32" s="103"/>
      <c r="B32" s="14"/>
      <c r="C32" s="14"/>
      <c r="D32" s="14"/>
      <c r="E32" s="14"/>
      <c r="F32" s="104"/>
    </row>
    <row r="33" spans="1:6">
      <c r="A33" s="103"/>
      <c r="B33" s="14"/>
      <c r="C33" s="14"/>
      <c r="D33" s="14"/>
      <c r="E33" s="14"/>
      <c r="F33" s="104"/>
    </row>
    <row r="34" spans="1:6">
      <c r="A34" s="103"/>
      <c r="B34" s="14"/>
      <c r="C34" s="14"/>
      <c r="D34" s="14"/>
      <c r="E34" s="14"/>
      <c r="F34" s="104"/>
    </row>
    <row r="35" spans="1:6">
      <c r="A35" s="103"/>
      <c r="B35" s="14"/>
      <c r="C35" s="14"/>
      <c r="D35" s="14"/>
      <c r="E35" s="14"/>
      <c r="F35" s="104"/>
    </row>
    <row r="36" spans="1:6">
      <c r="A36" s="103"/>
      <c r="B36" s="14"/>
      <c r="C36" s="14"/>
      <c r="D36" s="14"/>
      <c r="E36" s="14"/>
      <c r="F36" s="104"/>
    </row>
    <row r="37" spans="1:6">
      <c r="A37" s="103"/>
      <c r="B37" s="14"/>
      <c r="C37" s="14"/>
      <c r="D37" s="14"/>
      <c r="E37" s="14"/>
      <c r="F37" s="104"/>
    </row>
    <row r="38" spans="1:6">
      <c r="A38" s="103"/>
      <c r="B38" s="14"/>
      <c r="C38" s="14"/>
      <c r="D38" s="14"/>
      <c r="E38" s="14"/>
      <c r="F38" s="104"/>
    </row>
    <row r="39" spans="1:6">
      <c r="A39" s="103"/>
      <c r="B39" s="14"/>
      <c r="C39" s="14"/>
      <c r="D39" s="14"/>
      <c r="E39" s="14"/>
      <c r="F39" s="104"/>
    </row>
    <row r="40" spans="1:6">
      <c r="A40" s="103"/>
      <c r="B40" s="14"/>
      <c r="C40" s="14"/>
      <c r="D40" s="14"/>
      <c r="E40" s="14"/>
      <c r="F40" s="104"/>
    </row>
    <row r="41" spans="1:6">
      <c r="A41" s="103"/>
      <c r="B41" s="14"/>
      <c r="C41" s="14"/>
      <c r="D41" s="14"/>
      <c r="E41" s="14"/>
      <c r="F41" s="104"/>
    </row>
    <row r="42" spans="1:6">
      <c r="A42" s="103"/>
      <c r="B42" s="14"/>
      <c r="C42" s="14"/>
      <c r="D42" s="14"/>
      <c r="E42" s="14"/>
      <c r="F42" s="104"/>
    </row>
    <row r="43" spans="1:6">
      <c r="A43" s="103"/>
      <c r="B43" s="14"/>
      <c r="C43" s="14"/>
      <c r="D43" s="14"/>
      <c r="E43" s="14"/>
      <c r="F43" s="104"/>
    </row>
    <row r="44" spans="1:6">
      <c r="A44" s="103"/>
      <c r="B44" s="14"/>
      <c r="C44" s="14"/>
      <c r="D44" s="14"/>
      <c r="E44" s="14"/>
      <c r="F44" s="104"/>
    </row>
    <row r="45" spans="1:6" ht="13.5" thickBot="1">
      <c r="A45" s="113"/>
      <c r="B45" s="114"/>
      <c r="C45" s="114"/>
      <c r="D45" s="114"/>
      <c r="E45" s="114"/>
      <c r="F45" s="115"/>
    </row>
  </sheetData>
  <mergeCells count="4">
    <mergeCell ref="A2:F2"/>
    <mergeCell ref="A3:F3"/>
    <mergeCell ref="B5:C5"/>
    <mergeCell ref="A1:F1"/>
  </mergeCells>
  <phoneticPr fontId="7" type="noConversion"/>
  <printOptions horizontalCentered="1"/>
  <pageMargins left="0.18" right="0.18" top="0.27" bottom="0.28000000000000003" header="0" footer="0"/>
  <pageSetup scale="9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selection activeCell="A22" sqref="A22:F22"/>
    </sheetView>
  </sheetViews>
  <sheetFormatPr baseColWidth="10" defaultRowHeight="12.75"/>
  <cols>
    <col min="1" max="1" width="37" bestFit="1" customWidth="1"/>
    <col min="2" max="5" width="14.85546875" customWidth="1"/>
    <col min="6" max="6" width="39.7109375" customWidth="1"/>
  </cols>
  <sheetData>
    <row r="1" spans="1:6" ht="15.75">
      <c r="A1" s="336" t="s">
        <v>366</v>
      </c>
      <c r="B1" s="336"/>
      <c r="C1" s="336"/>
      <c r="D1" s="336"/>
      <c r="E1" s="336"/>
      <c r="F1" s="336"/>
    </row>
    <row r="2" spans="1:6">
      <c r="A2" s="335" t="s">
        <v>1131</v>
      </c>
      <c r="B2" s="335"/>
      <c r="C2" s="335"/>
      <c r="D2" s="335"/>
      <c r="E2" s="335"/>
      <c r="F2" s="335"/>
    </row>
    <row r="3" spans="1:6">
      <c r="A3" s="335" t="s">
        <v>200</v>
      </c>
      <c r="B3" s="335"/>
      <c r="C3" s="335"/>
      <c r="D3" s="335"/>
      <c r="E3" s="335"/>
      <c r="F3" s="335"/>
    </row>
    <row r="4" spans="1:6" ht="13.5" thickBot="1"/>
    <row r="5" spans="1:6" ht="13.5" thickBot="1">
      <c r="A5" s="438" t="s">
        <v>0</v>
      </c>
      <c r="B5" s="439" t="s">
        <v>208</v>
      </c>
      <c r="C5" s="440"/>
      <c r="D5" s="441" t="s">
        <v>40</v>
      </c>
      <c r="E5" s="441" t="s">
        <v>41</v>
      </c>
      <c r="F5" s="438" t="s">
        <v>238</v>
      </c>
    </row>
    <row r="6" spans="1:6" ht="13.5" thickBot="1">
      <c r="A6" s="442"/>
      <c r="B6" s="443">
        <v>2010</v>
      </c>
      <c r="C6" s="443">
        <v>2011</v>
      </c>
      <c r="D6" s="443">
        <v>2011</v>
      </c>
      <c r="E6" s="443"/>
      <c r="F6" s="444"/>
    </row>
    <row r="7" spans="1:6" ht="13.5" thickBot="1"/>
    <row r="8" spans="1:6">
      <c r="A8" s="260"/>
      <c r="B8" s="116"/>
      <c r="C8" s="116"/>
      <c r="D8" s="116"/>
      <c r="E8" s="116"/>
      <c r="F8" s="263"/>
    </row>
    <row r="9" spans="1:6">
      <c r="A9" s="107" t="s">
        <v>292</v>
      </c>
      <c r="B9" s="255">
        <f>VLOOKUP($A9,[1]FFM!$A$10:$I$18,7,0)</f>
        <v>174910501.68000001</v>
      </c>
      <c r="C9" s="96">
        <f>SUM('Ingresos Reales'!N73)</f>
        <v>219763632</v>
      </c>
      <c r="D9" s="24">
        <f>SUM('Presupuesto Ingresos'!N73)</f>
        <v>195534921</v>
      </c>
      <c r="E9" s="96">
        <f>SUM(C9-D9)</f>
        <v>24228711</v>
      </c>
      <c r="F9" s="108"/>
    </row>
    <row r="10" spans="1:6">
      <c r="A10" s="107"/>
      <c r="B10" s="250"/>
      <c r="C10" s="96"/>
      <c r="D10" s="24"/>
      <c r="E10" s="96"/>
      <c r="F10" s="108"/>
    </row>
    <row r="11" spans="1:6">
      <c r="A11" s="265" t="s">
        <v>478</v>
      </c>
      <c r="B11" s="255">
        <f>VLOOKUP($A11,[1]FFM!$A$10:$I$18,7,0)</f>
        <v>0</v>
      </c>
      <c r="C11" s="96">
        <f>SUM('Ingresos Reales'!N74)</f>
        <v>0</v>
      </c>
      <c r="D11" s="24">
        <f>SUM('Presupuesto Ingresos'!N74)</f>
        <v>0</v>
      </c>
      <c r="E11" s="96">
        <f>SUM(C11-D11)</f>
        <v>0</v>
      </c>
      <c r="F11" s="108"/>
    </row>
    <row r="12" spans="1:6">
      <c r="A12" s="107"/>
      <c r="B12" s="250"/>
      <c r="C12" s="96"/>
      <c r="D12" s="24"/>
      <c r="E12" s="96"/>
      <c r="F12" s="108"/>
    </row>
    <row r="13" spans="1:6">
      <c r="A13" s="265" t="s">
        <v>479</v>
      </c>
      <c r="B13" s="255">
        <f>VLOOKUP($A13,[1]FFM!$A$10:$I$18,7,0)</f>
        <v>10569.67</v>
      </c>
      <c r="C13" s="96">
        <f>SUM('Ingresos Reales'!N75)</f>
        <v>10861.360000000002</v>
      </c>
      <c r="D13" s="24">
        <f>SUM('Presupuesto Ingresos'!N75)</f>
        <v>0</v>
      </c>
      <c r="E13" s="96">
        <f>SUM(C13-D13)</f>
        <v>10861.360000000002</v>
      </c>
      <c r="F13" s="108"/>
    </row>
    <row r="14" spans="1:6">
      <c r="A14" s="107"/>
      <c r="B14" s="250"/>
      <c r="C14" s="96"/>
      <c r="D14" s="24"/>
      <c r="E14" s="96"/>
      <c r="F14" s="108"/>
    </row>
    <row r="15" spans="1:6">
      <c r="A15" s="253" t="s">
        <v>480</v>
      </c>
      <c r="B15" s="255">
        <f>VLOOKUP($A15,[1]FFM!$A$10:$I$18,7,0)</f>
        <v>108975.90000000002</v>
      </c>
      <c r="C15" s="96">
        <f>SUM('Ingresos Reales'!N76)</f>
        <v>1101.4000000000001</v>
      </c>
      <c r="D15" s="24">
        <f>SUM('Presupuesto Ingresos'!N76)</f>
        <v>0</v>
      </c>
      <c r="E15" s="96">
        <f>SUM(C15-D15)</f>
        <v>1101.4000000000001</v>
      </c>
      <c r="F15" s="108"/>
    </row>
    <row r="16" spans="1:6">
      <c r="A16" s="265"/>
      <c r="B16" s="250"/>
      <c r="C16" s="96"/>
      <c r="D16" s="24"/>
      <c r="E16" s="96"/>
      <c r="F16" s="108"/>
    </row>
    <row r="17" spans="1:6">
      <c r="A17" s="253" t="s">
        <v>567</v>
      </c>
      <c r="B17" s="255">
        <f>VLOOKUP($A17,[1]FFM!$A$10:$I$18,7,0)</f>
        <v>175576.97</v>
      </c>
      <c r="C17" s="96">
        <f>SUM('Ingresos Reales'!N77)</f>
        <v>329463.88000000006</v>
      </c>
      <c r="D17" s="24">
        <f>SUM('Presupuesto Ingresos'!N77)</f>
        <v>0</v>
      </c>
      <c r="E17" s="96">
        <f>SUM(C17-D17)</f>
        <v>329463.88000000006</v>
      </c>
      <c r="F17" s="108"/>
    </row>
    <row r="18" spans="1:6">
      <c r="A18" s="265"/>
      <c r="B18" s="250"/>
      <c r="C18" s="96"/>
      <c r="D18" s="24"/>
      <c r="E18" s="96"/>
      <c r="F18" s="108"/>
    </row>
    <row r="19" spans="1:6">
      <c r="A19" s="253" t="s">
        <v>1140</v>
      </c>
      <c r="B19" s="255">
        <v>0</v>
      </c>
      <c r="C19" s="96">
        <f>SUM('Ingresos Reales'!N78)</f>
        <v>1009866.46</v>
      </c>
      <c r="D19" s="24">
        <f>SUM('Presupuesto Ingresos'!N78)</f>
        <v>351000</v>
      </c>
      <c r="E19" s="96">
        <f>SUM(C19-D19)</f>
        <v>658866.46</v>
      </c>
      <c r="F19" s="108"/>
    </row>
    <row r="20" spans="1:6">
      <c r="A20" s="109"/>
      <c r="B20" s="25"/>
      <c r="C20" s="25"/>
      <c r="D20" s="25"/>
      <c r="E20" s="25"/>
      <c r="F20" s="108"/>
    </row>
    <row r="21" spans="1:6" ht="13.5" thickBot="1">
      <c r="A21" s="103"/>
      <c r="B21" s="45"/>
      <c r="C21" s="45"/>
      <c r="D21" s="45"/>
      <c r="E21" s="45"/>
      <c r="F21" s="108"/>
    </row>
    <row r="22" spans="1:6" ht="25.5" customHeight="1" thickBot="1">
      <c r="A22" s="463" t="s">
        <v>4</v>
      </c>
      <c r="B22" s="464">
        <f>SUM(B8:B20)</f>
        <v>175205624.22</v>
      </c>
      <c r="C22" s="465">
        <f>SUM(C8:C20)</f>
        <v>221114925.10000002</v>
      </c>
      <c r="D22" s="464">
        <f>SUM(D8:D20)</f>
        <v>195885921</v>
      </c>
      <c r="E22" s="465">
        <f>SUM(E8:E20)</f>
        <v>25229004.099999998</v>
      </c>
      <c r="F22" s="453"/>
    </row>
    <row r="23" spans="1:6">
      <c r="A23" s="103"/>
      <c r="B23" s="14"/>
      <c r="C23" s="14"/>
      <c r="D23" s="14"/>
      <c r="E23" s="14"/>
      <c r="F23" s="104"/>
    </row>
    <row r="24" spans="1:6">
      <c r="A24" s="103"/>
      <c r="B24" s="14"/>
      <c r="C24" s="14"/>
      <c r="D24" s="14"/>
      <c r="E24" s="14"/>
      <c r="F24" s="104"/>
    </row>
    <row r="25" spans="1:6">
      <c r="A25" s="103"/>
      <c r="B25" s="14"/>
      <c r="C25" s="14"/>
      <c r="D25" s="14"/>
      <c r="E25" s="14"/>
      <c r="F25" s="104"/>
    </row>
    <row r="26" spans="1:6">
      <c r="A26" s="103"/>
      <c r="B26" s="14"/>
      <c r="C26" s="14"/>
      <c r="D26" s="14"/>
      <c r="E26" s="14"/>
      <c r="F26" s="104"/>
    </row>
    <row r="27" spans="1:6">
      <c r="A27" s="103"/>
      <c r="B27" s="14"/>
      <c r="C27" s="14"/>
      <c r="D27" s="14"/>
      <c r="E27" s="14"/>
      <c r="F27" s="104"/>
    </row>
    <row r="28" spans="1:6">
      <c r="A28" s="103"/>
      <c r="B28" s="14"/>
      <c r="C28" s="14"/>
      <c r="D28" s="14"/>
      <c r="E28" s="14"/>
      <c r="F28" s="104"/>
    </row>
    <row r="29" spans="1:6">
      <c r="A29" s="103"/>
      <c r="B29" s="14"/>
      <c r="C29" s="14"/>
      <c r="D29" s="14"/>
      <c r="E29" s="14"/>
      <c r="F29" s="104"/>
    </row>
    <row r="30" spans="1:6">
      <c r="A30" s="103"/>
      <c r="B30" s="14"/>
      <c r="C30" s="14"/>
      <c r="D30" s="14"/>
      <c r="E30" s="14"/>
      <c r="F30" s="104"/>
    </row>
    <row r="31" spans="1:6">
      <c r="A31" s="103"/>
      <c r="B31" s="14"/>
      <c r="C31" s="14"/>
      <c r="D31" s="14"/>
      <c r="E31" s="14"/>
      <c r="F31" s="104"/>
    </row>
    <row r="32" spans="1:6">
      <c r="A32" s="103"/>
      <c r="B32" s="14"/>
      <c r="C32" s="14"/>
      <c r="D32" s="14"/>
      <c r="E32" s="14"/>
      <c r="F32" s="104"/>
    </row>
    <row r="33" spans="1:6">
      <c r="A33" s="103"/>
      <c r="B33" s="14"/>
      <c r="C33" s="14"/>
      <c r="D33" s="14"/>
      <c r="E33" s="14"/>
      <c r="F33" s="104"/>
    </row>
    <row r="34" spans="1:6">
      <c r="A34" s="103"/>
      <c r="B34" s="14"/>
      <c r="C34" s="14"/>
      <c r="D34" s="14"/>
      <c r="E34" s="14"/>
      <c r="F34" s="104"/>
    </row>
    <row r="35" spans="1:6" ht="13.5" customHeight="1">
      <c r="A35" s="103"/>
      <c r="B35" s="14"/>
      <c r="C35" s="14"/>
      <c r="D35" s="14"/>
      <c r="E35" s="14"/>
      <c r="F35" s="104"/>
    </row>
    <row r="36" spans="1:6">
      <c r="A36" s="103"/>
      <c r="B36" s="14"/>
      <c r="C36" s="14"/>
      <c r="D36" s="14"/>
      <c r="E36" s="14"/>
      <c r="F36" s="104"/>
    </row>
    <row r="37" spans="1:6">
      <c r="A37" s="103"/>
      <c r="B37" s="14"/>
      <c r="C37" s="14"/>
      <c r="D37" s="14"/>
      <c r="E37" s="14"/>
      <c r="F37" s="104"/>
    </row>
    <row r="38" spans="1:6">
      <c r="A38" s="103"/>
      <c r="B38" s="14"/>
      <c r="C38" s="14"/>
      <c r="D38" s="14"/>
      <c r="E38" s="14"/>
      <c r="F38" s="104"/>
    </row>
    <row r="39" spans="1:6">
      <c r="A39" s="103"/>
      <c r="B39" s="14"/>
      <c r="C39" s="14"/>
      <c r="D39" s="14"/>
      <c r="E39" s="14"/>
      <c r="F39" s="104"/>
    </row>
    <row r="40" spans="1:6">
      <c r="A40" s="103"/>
      <c r="B40" s="14"/>
      <c r="C40" s="14"/>
      <c r="D40" s="14"/>
      <c r="E40" s="14"/>
      <c r="F40" s="104"/>
    </row>
    <row r="41" spans="1:6">
      <c r="A41" s="103"/>
      <c r="B41" s="14"/>
      <c r="C41" s="14"/>
      <c r="D41" s="14"/>
      <c r="E41" s="14"/>
      <c r="F41" s="104"/>
    </row>
    <row r="42" spans="1:6">
      <c r="A42" s="103"/>
      <c r="B42" s="14"/>
      <c r="C42" s="14"/>
      <c r="D42" s="14"/>
      <c r="E42" s="14"/>
      <c r="F42" s="104"/>
    </row>
    <row r="43" spans="1:6">
      <c r="A43" s="103"/>
      <c r="B43" s="14"/>
      <c r="C43" s="14"/>
      <c r="D43" s="14"/>
      <c r="E43" s="14"/>
      <c r="F43" s="104"/>
    </row>
    <row r="44" spans="1:6">
      <c r="A44" s="103"/>
      <c r="B44" s="14"/>
      <c r="C44" s="14"/>
      <c r="D44" s="14"/>
      <c r="E44" s="14"/>
      <c r="F44" s="104"/>
    </row>
    <row r="45" spans="1:6" ht="13.5" thickBot="1">
      <c r="A45" s="113"/>
      <c r="B45" s="114"/>
      <c r="C45" s="114"/>
      <c r="D45" s="114"/>
      <c r="E45" s="114"/>
      <c r="F45" s="115"/>
    </row>
  </sheetData>
  <mergeCells count="4">
    <mergeCell ref="A2:F2"/>
    <mergeCell ref="A3:F3"/>
    <mergeCell ref="B5:C5"/>
    <mergeCell ref="A1:F1"/>
  </mergeCells>
  <phoneticPr fontId="7" type="noConversion"/>
  <printOptions horizontalCentered="1"/>
  <pageMargins left="0.21" right="0.18" top="0.46" bottom="0.39370078740157483" header="0" footer="0"/>
  <pageSetup scale="9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workbookViewId="0">
      <selection activeCell="A5" sqref="A5:F6"/>
    </sheetView>
  </sheetViews>
  <sheetFormatPr baseColWidth="10" defaultRowHeight="12.75"/>
  <cols>
    <col min="1" max="1" width="33.85546875" customWidth="1"/>
    <col min="2" max="5" width="14.85546875" customWidth="1"/>
    <col min="6" max="6" width="37.85546875" customWidth="1"/>
  </cols>
  <sheetData>
    <row r="1" spans="1:6" ht="15.75">
      <c r="A1" s="336" t="s">
        <v>366</v>
      </c>
      <c r="B1" s="336"/>
      <c r="C1" s="336"/>
      <c r="D1" s="336"/>
      <c r="E1" s="336"/>
      <c r="F1" s="336"/>
    </row>
    <row r="2" spans="1:6">
      <c r="A2" s="335" t="s">
        <v>1131</v>
      </c>
      <c r="B2" s="335"/>
      <c r="C2" s="335"/>
      <c r="D2" s="335"/>
      <c r="E2" s="335"/>
      <c r="F2" s="335"/>
    </row>
    <row r="3" spans="1:6">
      <c r="A3" s="335" t="s">
        <v>219</v>
      </c>
      <c r="B3" s="335"/>
      <c r="C3" s="335"/>
      <c r="D3" s="335"/>
      <c r="E3" s="335"/>
      <c r="F3" s="335"/>
    </row>
    <row r="4" spans="1:6" ht="13.5" thickBot="1"/>
    <row r="5" spans="1:6" ht="13.5" thickBot="1">
      <c r="A5" s="438" t="s">
        <v>0</v>
      </c>
      <c r="B5" s="439" t="s">
        <v>208</v>
      </c>
      <c r="C5" s="440"/>
      <c r="D5" s="441" t="s">
        <v>40</v>
      </c>
      <c r="E5" s="441" t="s">
        <v>41</v>
      </c>
      <c r="F5" s="438" t="s">
        <v>238</v>
      </c>
    </row>
    <row r="6" spans="1:6" ht="13.5" thickBot="1">
      <c r="A6" s="442"/>
      <c r="B6" s="443">
        <v>2010</v>
      </c>
      <c r="C6" s="443">
        <v>2011</v>
      </c>
      <c r="D6" s="443">
        <v>2011</v>
      </c>
      <c r="E6" s="443"/>
      <c r="F6" s="444"/>
    </row>
    <row r="7" spans="1:6" ht="13.5" thickBot="1"/>
    <row r="8" spans="1:6">
      <c r="A8" s="260"/>
      <c r="B8" s="116"/>
      <c r="C8" s="116"/>
      <c r="D8" s="116"/>
      <c r="E8" s="116"/>
      <c r="F8" s="263"/>
    </row>
    <row r="9" spans="1:6">
      <c r="A9" s="107" t="s">
        <v>220</v>
      </c>
      <c r="B9" s="255">
        <v>2553651.7599999998</v>
      </c>
      <c r="C9" s="96">
        <f>SUM('Ingresos Reales'!N79)</f>
        <v>0</v>
      </c>
      <c r="D9" s="24">
        <f>SUM('Presupuesto Ingresos'!N79)</f>
        <v>4381055</v>
      </c>
      <c r="E9" s="96">
        <f>SUM(C9-D9)</f>
        <v>-4381055</v>
      </c>
      <c r="F9" s="108"/>
    </row>
    <row r="10" spans="1:6">
      <c r="A10" s="109"/>
      <c r="B10" s="25"/>
      <c r="C10" s="25"/>
      <c r="D10" s="25"/>
      <c r="E10" s="25"/>
      <c r="F10" s="108"/>
    </row>
    <row r="11" spans="1:6" ht="13.5" thickBot="1">
      <c r="A11" s="103"/>
      <c r="B11" s="45"/>
      <c r="C11" s="45"/>
      <c r="D11" s="45"/>
      <c r="E11" s="45"/>
      <c r="F11" s="108"/>
    </row>
    <row r="12" spans="1:6" ht="24" customHeight="1" thickBot="1">
      <c r="A12" s="426" t="s">
        <v>4</v>
      </c>
      <c r="B12" s="427">
        <f>SUM(B8:B10)</f>
        <v>2553651.7599999998</v>
      </c>
      <c r="C12" s="452">
        <f>SUM(C8:C10)</f>
        <v>0</v>
      </c>
      <c r="D12" s="427">
        <f>SUM(D8:D10)</f>
        <v>4381055</v>
      </c>
      <c r="E12" s="452">
        <f>SUM(E8:E10)</f>
        <v>-4381055</v>
      </c>
      <c r="F12" s="457"/>
    </row>
    <row r="13" spans="1:6">
      <c r="A13" s="103"/>
      <c r="B13" s="14"/>
      <c r="C13" s="111"/>
      <c r="D13" s="14"/>
      <c r="E13" s="14"/>
      <c r="F13" s="108"/>
    </row>
    <row r="14" spans="1:6">
      <c r="A14" s="112"/>
      <c r="B14" s="12"/>
      <c r="C14" s="12"/>
      <c r="D14" s="12"/>
      <c r="E14" s="12"/>
      <c r="F14" s="104"/>
    </row>
    <row r="15" spans="1:6">
      <c r="A15" s="103"/>
      <c r="B15" s="14"/>
      <c r="C15" s="14"/>
      <c r="D15" s="14"/>
      <c r="E15" s="14"/>
      <c r="F15" s="104"/>
    </row>
    <row r="16" spans="1:6">
      <c r="A16" s="103"/>
      <c r="B16" s="14"/>
      <c r="C16" s="14"/>
      <c r="D16" s="14"/>
      <c r="E16" s="14"/>
      <c r="F16" s="104"/>
    </row>
    <row r="17" spans="1:6">
      <c r="A17" s="103"/>
      <c r="B17" s="14"/>
      <c r="C17" s="14"/>
      <c r="D17" s="14"/>
      <c r="E17" s="14"/>
      <c r="F17" s="104"/>
    </row>
    <row r="18" spans="1:6">
      <c r="A18" s="103"/>
      <c r="B18" s="14"/>
      <c r="C18" s="14"/>
      <c r="D18" s="14"/>
      <c r="E18" s="14"/>
      <c r="F18" s="104"/>
    </row>
    <row r="19" spans="1:6">
      <c r="A19" s="103"/>
      <c r="B19" s="14"/>
      <c r="C19" s="14"/>
      <c r="D19" s="14"/>
      <c r="E19" s="14"/>
      <c r="F19" s="104"/>
    </row>
    <row r="20" spans="1:6">
      <c r="A20" s="103"/>
      <c r="B20" s="14"/>
      <c r="C20" s="14"/>
      <c r="D20" s="14"/>
      <c r="E20" s="14"/>
      <c r="F20" s="104"/>
    </row>
    <row r="21" spans="1:6">
      <c r="A21" s="103"/>
      <c r="B21" s="14"/>
      <c r="C21" s="14"/>
      <c r="D21" s="14"/>
      <c r="E21" s="14"/>
      <c r="F21" s="104"/>
    </row>
    <row r="22" spans="1:6">
      <c r="A22" s="103"/>
      <c r="B22" s="14"/>
      <c r="C22" s="14"/>
      <c r="D22" s="14"/>
      <c r="E22" s="14"/>
      <c r="F22" s="104"/>
    </row>
    <row r="23" spans="1:6">
      <c r="A23" s="103"/>
      <c r="B23" s="14"/>
      <c r="C23" s="14"/>
      <c r="D23" s="14"/>
      <c r="E23" s="14"/>
      <c r="F23" s="104"/>
    </row>
    <row r="24" spans="1:6">
      <c r="A24" s="103"/>
      <c r="B24" s="14"/>
      <c r="C24" s="14"/>
      <c r="D24" s="14"/>
      <c r="E24" s="14"/>
      <c r="F24" s="104"/>
    </row>
    <row r="25" spans="1:6">
      <c r="A25" s="103"/>
      <c r="B25" s="14"/>
      <c r="C25" s="14"/>
      <c r="D25" s="14"/>
      <c r="E25" s="14"/>
      <c r="F25" s="104"/>
    </row>
    <row r="26" spans="1:6">
      <c r="A26" s="103"/>
      <c r="B26" s="14"/>
      <c r="C26" s="14"/>
      <c r="D26" s="14"/>
      <c r="E26" s="14"/>
      <c r="F26" s="104"/>
    </row>
    <row r="27" spans="1:6">
      <c r="A27" s="103"/>
      <c r="B27" s="14"/>
      <c r="C27" s="14"/>
      <c r="D27" s="14"/>
      <c r="E27" s="14"/>
      <c r="F27" s="104"/>
    </row>
    <row r="28" spans="1:6">
      <c r="A28" s="103"/>
      <c r="B28" s="14"/>
      <c r="C28" s="14"/>
      <c r="D28" s="14"/>
      <c r="E28" s="14"/>
      <c r="F28" s="104"/>
    </row>
    <row r="29" spans="1:6">
      <c r="A29" s="103"/>
      <c r="B29" s="14"/>
      <c r="C29" s="14"/>
      <c r="D29" s="14"/>
      <c r="E29" s="14"/>
      <c r="F29" s="104"/>
    </row>
    <row r="30" spans="1:6">
      <c r="A30" s="103"/>
      <c r="B30" s="14"/>
      <c r="C30" s="14"/>
      <c r="D30" s="14"/>
      <c r="E30" s="14"/>
      <c r="F30" s="104"/>
    </row>
    <row r="31" spans="1:6">
      <c r="A31" s="103"/>
      <c r="B31" s="14"/>
      <c r="C31" s="14"/>
      <c r="D31" s="14"/>
      <c r="E31" s="14"/>
      <c r="F31" s="104"/>
    </row>
    <row r="32" spans="1:6">
      <c r="A32" s="103"/>
      <c r="B32" s="14"/>
      <c r="C32" s="14"/>
      <c r="D32" s="14"/>
      <c r="E32" s="14"/>
      <c r="F32" s="104"/>
    </row>
    <row r="33" spans="1:6">
      <c r="A33" s="103"/>
      <c r="B33" s="14"/>
      <c r="C33" s="14"/>
      <c r="D33" s="14"/>
      <c r="E33" s="14"/>
      <c r="F33" s="104"/>
    </row>
    <row r="34" spans="1:6">
      <c r="A34" s="103"/>
      <c r="B34" s="14"/>
      <c r="C34" s="14"/>
      <c r="D34" s="14"/>
      <c r="E34" s="14"/>
      <c r="F34" s="104"/>
    </row>
    <row r="35" spans="1:6">
      <c r="A35" s="103"/>
      <c r="B35" s="14"/>
      <c r="C35" s="14"/>
      <c r="D35" s="14"/>
      <c r="E35" s="14"/>
      <c r="F35" s="104"/>
    </row>
    <row r="36" spans="1:6">
      <c r="A36" s="103"/>
      <c r="B36" s="14"/>
      <c r="C36" s="14"/>
      <c r="D36" s="14"/>
      <c r="E36" s="14"/>
      <c r="F36" s="104"/>
    </row>
    <row r="37" spans="1:6">
      <c r="A37" s="103"/>
      <c r="B37" s="14"/>
      <c r="C37" s="14"/>
      <c r="D37" s="14"/>
      <c r="E37" s="14"/>
      <c r="F37" s="104"/>
    </row>
    <row r="38" spans="1:6">
      <c r="A38" s="103"/>
      <c r="B38" s="14"/>
      <c r="C38" s="14"/>
      <c r="D38" s="14"/>
      <c r="E38" s="14"/>
      <c r="F38" s="104"/>
    </row>
    <row r="39" spans="1:6">
      <c r="A39" s="103"/>
      <c r="B39" s="14"/>
      <c r="C39" s="14"/>
      <c r="D39" s="14"/>
      <c r="E39" s="14"/>
      <c r="F39" s="104"/>
    </row>
    <row r="40" spans="1:6">
      <c r="A40" s="103"/>
      <c r="B40" s="14"/>
      <c r="C40" s="14"/>
      <c r="D40" s="14"/>
      <c r="E40" s="14"/>
      <c r="F40" s="104"/>
    </row>
    <row r="41" spans="1:6">
      <c r="A41" s="103"/>
      <c r="B41" s="14"/>
      <c r="C41" s="14"/>
      <c r="D41" s="14"/>
      <c r="E41" s="14"/>
      <c r="F41" s="104"/>
    </row>
    <row r="42" spans="1:6">
      <c r="A42" s="103"/>
      <c r="B42" s="14"/>
      <c r="C42" s="14"/>
      <c r="D42" s="14"/>
      <c r="E42" s="14"/>
      <c r="F42" s="104"/>
    </row>
    <row r="43" spans="1:6" ht="13.5" thickBot="1">
      <c r="A43" s="113"/>
      <c r="B43" s="114"/>
      <c r="C43" s="114"/>
      <c r="D43" s="114"/>
      <c r="E43" s="114"/>
      <c r="F43" s="115"/>
    </row>
  </sheetData>
  <mergeCells count="4">
    <mergeCell ref="A2:F2"/>
    <mergeCell ref="A3:F3"/>
    <mergeCell ref="B5:C5"/>
    <mergeCell ref="A1:F1"/>
  </mergeCells>
  <phoneticPr fontId="7" type="noConversion"/>
  <printOptions horizontalCentered="1"/>
  <pageMargins left="0.19685039370078741" right="0.23622047244094491" top="0.31496062992125984" bottom="0.19685039370078741" header="0" footer="0"/>
  <pageSetup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2"/>
  <sheetViews>
    <sheetView workbookViewId="0">
      <selection activeCell="C18" sqref="C18"/>
    </sheetView>
  </sheetViews>
  <sheetFormatPr baseColWidth="10" defaultRowHeight="12.75"/>
  <cols>
    <col min="1" max="1" width="55.5703125" customWidth="1"/>
    <col min="2" max="5" width="14.85546875" customWidth="1"/>
    <col min="6" max="6" width="33" customWidth="1"/>
  </cols>
  <sheetData>
    <row r="1" spans="1:6" ht="15.75">
      <c r="A1" s="336" t="s">
        <v>366</v>
      </c>
      <c r="B1" s="336"/>
      <c r="C1" s="336"/>
      <c r="D1" s="336"/>
      <c r="E1" s="336"/>
      <c r="F1" s="336"/>
    </row>
    <row r="2" spans="1:6">
      <c r="A2" s="335" t="s">
        <v>1131</v>
      </c>
      <c r="B2" s="335"/>
      <c r="C2" s="335"/>
      <c r="D2" s="335"/>
      <c r="E2" s="335"/>
      <c r="F2" s="335"/>
    </row>
    <row r="3" spans="1:6">
      <c r="A3" s="335" t="s">
        <v>221</v>
      </c>
      <c r="B3" s="335"/>
      <c r="C3" s="335"/>
      <c r="D3" s="335"/>
      <c r="E3" s="335"/>
      <c r="F3" s="335"/>
    </row>
    <row r="5" spans="1:6" ht="13.5" thickBot="1">
      <c r="A5" s="177" t="s">
        <v>0</v>
      </c>
      <c r="B5" s="339" t="s">
        <v>208</v>
      </c>
      <c r="C5" s="340"/>
      <c r="D5" s="178" t="s">
        <v>40</v>
      </c>
      <c r="E5" s="178" t="s">
        <v>41</v>
      </c>
      <c r="F5" s="179" t="s">
        <v>238</v>
      </c>
    </row>
    <row r="6" spans="1:6" ht="13.5" thickBot="1">
      <c r="A6" s="180"/>
      <c r="B6" s="4">
        <v>2010</v>
      </c>
      <c r="C6" s="4">
        <v>2011</v>
      </c>
      <c r="D6" s="4">
        <v>2011</v>
      </c>
      <c r="E6" s="4"/>
      <c r="F6" s="181"/>
    </row>
    <row r="7" spans="1:6" ht="13.5" thickBot="1">
      <c r="A7" s="13"/>
      <c r="B7" s="14"/>
      <c r="C7" s="14"/>
      <c r="D7" s="14"/>
      <c r="E7" s="14"/>
      <c r="F7" s="15"/>
    </row>
    <row r="8" spans="1:6">
      <c r="A8" s="183"/>
      <c r="B8" s="116"/>
      <c r="C8" s="209"/>
      <c r="D8" s="116"/>
      <c r="E8" s="116"/>
      <c r="F8" s="182"/>
    </row>
    <row r="9" spans="1:6">
      <c r="A9" s="103" t="s">
        <v>157</v>
      </c>
      <c r="B9" s="250">
        <f>VLOOKUP($A9,'[1]Otras Aport.'!$A$10:$I$66,7,0)</f>
        <v>2350000</v>
      </c>
      <c r="C9" s="120">
        <f>SUM('Ingresos Reales'!N82)</f>
        <v>0</v>
      </c>
      <c r="D9" s="24">
        <f>SUM('Presupuesto Ingresos'!N82)</f>
        <v>0</v>
      </c>
      <c r="E9" s="96">
        <f>SUM(C9-D9)</f>
        <v>0</v>
      </c>
      <c r="F9" s="104"/>
    </row>
    <row r="10" spans="1:6" hidden="1">
      <c r="A10" s="103"/>
      <c r="B10" s="250"/>
      <c r="C10" s="155"/>
      <c r="D10" s="24"/>
      <c r="E10" s="24"/>
      <c r="F10" s="104"/>
    </row>
    <row r="11" spans="1:6" hidden="1">
      <c r="A11" s="103" t="s">
        <v>158</v>
      </c>
      <c r="B11" s="250"/>
      <c r="C11" s="120">
        <f>SUM('Ingresos Reales'!N83)</f>
        <v>0</v>
      </c>
      <c r="D11" s="24">
        <f>SUM('Presupuesto Ingresos'!N83)</f>
        <v>0</v>
      </c>
      <c r="E11" s="96">
        <f>SUM(C11-D11)</f>
        <v>0</v>
      </c>
      <c r="F11" s="104"/>
    </row>
    <row r="12" spans="1:6" hidden="1">
      <c r="A12" s="103"/>
      <c r="B12" s="250"/>
      <c r="C12" s="155"/>
      <c r="D12" s="24"/>
      <c r="E12" s="24"/>
      <c r="F12" s="104"/>
    </row>
    <row r="13" spans="1:6" hidden="1">
      <c r="A13" s="103" t="s">
        <v>159</v>
      </c>
      <c r="B13" s="250"/>
      <c r="C13" s="120">
        <f>SUM('Ingresos Reales'!N84)</f>
        <v>0</v>
      </c>
      <c r="D13" s="24">
        <f>SUM('Presupuesto Ingresos'!N84)</f>
        <v>0</v>
      </c>
      <c r="E13" s="96">
        <f>SUM(C13-D13)</f>
        <v>0</v>
      </c>
      <c r="F13" s="104"/>
    </row>
    <row r="14" spans="1:6" hidden="1">
      <c r="A14" s="103"/>
      <c r="B14" s="250"/>
      <c r="C14" s="155"/>
      <c r="D14" s="24"/>
      <c r="E14" s="24"/>
      <c r="F14" s="104"/>
    </row>
    <row r="15" spans="1:6" hidden="1">
      <c r="A15" s="103" t="s">
        <v>160</v>
      </c>
      <c r="B15" s="250"/>
      <c r="C15" s="120">
        <f>SUM('Ingresos Reales'!N85)</f>
        <v>0</v>
      </c>
      <c r="D15" s="24">
        <f>SUM('Presupuesto Ingresos'!N85)</f>
        <v>0</v>
      </c>
      <c r="E15" s="96">
        <f>SUM(C15-D15)</f>
        <v>0</v>
      </c>
      <c r="F15" s="104"/>
    </row>
    <row r="16" spans="1:6" hidden="1">
      <c r="A16" s="103"/>
      <c r="B16" s="250"/>
      <c r="C16" s="120"/>
      <c r="D16" s="24"/>
      <c r="E16" s="96"/>
      <c r="F16" s="104"/>
    </row>
    <row r="17" spans="1:6" hidden="1">
      <c r="A17" s="103" t="s">
        <v>293</v>
      </c>
      <c r="B17" s="250"/>
      <c r="C17" s="120">
        <f>SUM('Ingresos Reales'!N86)</f>
        <v>0</v>
      </c>
      <c r="D17" s="24">
        <f>SUM('Presupuesto Ingresos'!N86)</f>
        <v>0</v>
      </c>
      <c r="E17" s="96">
        <f>SUM(C17-D17)</f>
        <v>0</v>
      </c>
      <c r="F17" s="104"/>
    </row>
    <row r="18" spans="1:6">
      <c r="A18" s="103"/>
      <c r="B18" s="250"/>
      <c r="C18" s="120"/>
      <c r="D18" s="24"/>
      <c r="E18" s="96"/>
      <c r="F18" s="104"/>
    </row>
    <row r="19" spans="1:6">
      <c r="A19" s="103" t="s">
        <v>297</v>
      </c>
      <c r="B19" s="250">
        <f>VLOOKUP($A19,'[1]Otras Aport.'!$A$10:$I$66,7,0)</f>
        <v>0</v>
      </c>
      <c r="C19" s="120">
        <f>SUM('Ingresos Reales'!N87)</f>
        <v>5258509</v>
      </c>
      <c r="D19" s="24">
        <f>SUM('Presupuesto Ingresos'!N87)</f>
        <v>0</v>
      </c>
      <c r="E19" s="96">
        <f>SUM(C19-D19)</f>
        <v>5258509</v>
      </c>
      <c r="F19" s="104"/>
    </row>
    <row r="20" spans="1:6">
      <c r="A20" s="103"/>
      <c r="B20" s="250"/>
      <c r="C20" s="120"/>
      <c r="D20" s="24"/>
      <c r="E20" s="96"/>
      <c r="F20" s="104"/>
    </row>
    <row r="21" spans="1:6" hidden="1">
      <c r="A21" s="103" t="s">
        <v>395</v>
      </c>
      <c r="B21" s="250"/>
      <c r="C21" s="120">
        <f>SUM('Ingresos Reales'!N88)</f>
        <v>0</v>
      </c>
      <c r="D21" s="24">
        <f>SUM('Presupuesto Ingresos'!N88)</f>
        <v>0</v>
      </c>
      <c r="E21" s="96">
        <f>SUM(C21-D21)</f>
        <v>0</v>
      </c>
      <c r="F21" s="104"/>
    </row>
    <row r="22" spans="1:6" hidden="1">
      <c r="A22" s="103"/>
      <c r="B22" s="250"/>
      <c r="C22" s="120"/>
      <c r="D22" s="24"/>
      <c r="E22" s="96"/>
      <c r="F22" s="104"/>
    </row>
    <row r="23" spans="1:6" hidden="1">
      <c r="A23" s="103" t="s">
        <v>343</v>
      </c>
      <c r="B23" s="250"/>
      <c r="C23" s="120">
        <f>SUM('Ingresos Reales'!N89)</f>
        <v>0</v>
      </c>
      <c r="D23" s="24">
        <f>SUM('Presupuesto Ingresos'!N89)</f>
        <v>0</v>
      </c>
      <c r="E23" s="96">
        <f>SUM(C23-D23)</f>
        <v>0</v>
      </c>
      <c r="F23" s="104"/>
    </row>
    <row r="24" spans="1:6" hidden="1">
      <c r="A24" s="103"/>
      <c r="B24" s="250"/>
      <c r="C24" s="120"/>
      <c r="D24" s="24"/>
      <c r="E24" s="96"/>
      <c r="F24" s="104"/>
    </row>
    <row r="25" spans="1:6" hidden="1">
      <c r="A25" s="103" t="s">
        <v>294</v>
      </c>
      <c r="B25" s="250"/>
      <c r="C25" s="120">
        <f>SUM('Ingresos Reales'!N90)</f>
        <v>0</v>
      </c>
      <c r="D25" s="24">
        <f>SUM('Presupuesto Ingresos'!N90)</f>
        <v>0</v>
      </c>
      <c r="E25" s="96">
        <f>SUM(C25-D25)</f>
        <v>0</v>
      </c>
      <c r="F25" s="104"/>
    </row>
    <row r="26" spans="1:6" hidden="1">
      <c r="A26" s="103"/>
      <c r="B26" s="250"/>
      <c r="C26" s="120"/>
      <c r="D26" s="24"/>
      <c r="E26" s="96"/>
      <c r="F26" s="104"/>
    </row>
    <row r="27" spans="1:6" hidden="1">
      <c r="A27" s="103" t="s">
        <v>565</v>
      </c>
      <c r="B27" s="250"/>
      <c r="C27" s="120">
        <f>SUM('Ingresos Reales'!N91)</f>
        <v>0</v>
      </c>
      <c r="D27" s="24">
        <f>SUM('Presupuesto Ingresos'!N91)</f>
        <v>0</v>
      </c>
      <c r="E27" s="96">
        <f>SUM(C27-D27)</f>
        <v>0</v>
      </c>
      <c r="F27" s="104"/>
    </row>
    <row r="28" spans="1:6" hidden="1">
      <c r="A28" s="103"/>
      <c r="B28" s="250"/>
      <c r="C28" s="120"/>
      <c r="D28" s="24"/>
      <c r="E28" s="96"/>
      <c r="F28" s="104"/>
    </row>
    <row r="29" spans="1:6">
      <c r="A29" s="103" t="s">
        <v>296</v>
      </c>
      <c r="B29" s="250">
        <f>VLOOKUP($A29,'[1]Otras Aport.'!$A$10:$I$66,7,0)</f>
        <v>3274857.8699999996</v>
      </c>
      <c r="C29" s="120">
        <f>SUM('Ingresos Reales'!N92)</f>
        <v>489405.57000000007</v>
      </c>
      <c r="D29" s="24">
        <f>SUM('Presupuesto Ingresos'!N92)</f>
        <v>0</v>
      </c>
      <c r="E29" s="96">
        <f>SUM(C29-D29)</f>
        <v>489405.57000000007</v>
      </c>
      <c r="F29" s="104"/>
    </row>
    <row r="30" spans="1:6">
      <c r="A30" s="103"/>
      <c r="B30" s="250"/>
      <c r="C30" s="120"/>
      <c r="D30" s="24"/>
      <c r="E30" s="96"/>
      <c r="F30" s="104"/>
    </row>
    <row r="31" spans="1:6">
      <c r="A31" s="103" t="s">
        <v>396</v>
      </c>
      <c r="B31" s="250">
        <f>VLOOKUP($A31,'[1]Otras Aport.'!$A$10:$I$66,7,0)</f>
        <v>0</v>
      </c>
      <c r="C31" s="120">
        <f>SUM('Ingresos Reales'!N93)</f>
        <v>0</v>
      </c>
      <c r="D31" s="24">
        <f>SUM('Presupuesto Ingresos'!N93)</f>
        <v>0</v>
      </c>
      <c r="E31" s="96">
        <f>SUM(C31-D31)</f>
        <v>0</v>
      </c>
      <c r="F31" s="104"/>
    </row>
    <row r="32" spans="1:6">
      <c r="A32" s="103"/>
      <c r="B32" s="9"/>
      <c r="C32" s="120"/>
      <c r="D32" s="24"/>
      <c r="E32" s="96"/>
      <c r="F32" s="104"/>
    </row>
    <row r="33" spans="1:6">
      <c r="A33" s="103" t="s">
        <v>437</v>
      </c>
      <c r="B33" s="250">
        <f>VLOOKUP($A33,'[1]Otras Aport.'!$A$10:$I$66,7,0)</f>
        <v>5370129.2599999998</v>
      </c>
      <c r="C33" s="120">
        <f>SUM('Ingresos Reales'!N94)</f>
        <v>0</v>
      </c>
      <c r="D33" s="24">
        <f>SUM('Presupuesto Ingresos'!N94)</f>
        <v>0</v>
      </c>
      <c r="E33" s="96">
        <f>SUM(C33-D33)</f>
        <v>0</v>
      </c>
      <c r="F33" s="104"/>
    </row>
    <row r="34" spans="1:6">
      <c r="A34" s="103"/>
      <c r="B34" s="9"/>
      <c r="C34" s="120"/>
      <c r="D34" s="24"/>
      <c r="E34" s="96"/>
      <c r="F34" s="104"/>
    </row>
    <row r="35" spans="1:6">
      <c r="A35" s="103" t="s">
        <v>448</v>
      </c>
      <c r="B35" s="250">
        <f>VLOOKUP($A35,'[1]Otras Aport.'!$A$10:$I$66,7,0)</f>
        <v>13259304.050000001</v>
      </c>
      <c r="C35" s="120">
        <f>SUM('Ingresos Reales'!N95)</f>
        <v>0</v>
      </c>
      <c r="D35" s="24">
        <f>SUM('Presupuesto Ingresos'!N95)</f>
        <v>0</v>
      </c>
      <c r="E35" s="96">
        <f>SUM(C35-D35)</f>
        <v>0</v>
      </c>
      <c r="F35" s="104"/>
    </row>
    <row r="36" spans="1:6">
      <c r="A36" s="103"/>
      <c r="B36" s="9"/>
      <c r="C36" s="120"/>
      <c r="D36" s="24"/>
      <c r="E36" s="96"/>
      <c r="F36" s="104"/>
    </row>
    <row r="37" spans="1:6">
      <c r="A37" s="103" t="s">
        <v>449</v>
      </c>
      <c r="B37" s="250">
        <f>VLOOKUP($A37,'[1]Otras Aport.'!$A$10:$I$66,7,0)</f>
        <v>10000000</v>
      </c>
      <c r="C37" s="120">
        <f>SUM('Ingresos Reales'!N96)</f>
        <v>12163750</v>
      </c>
      <c r="D37" s="24">
        <f>SUM('Presupuesto Ingresos'!N96)</f>
        <v>0</v>
      </c>
      <c r="E37" s="96">
        <f>SUM(C37-D37)</f>
        <v>12163750</v>
      </c>
      <c r="F37" s="104"/>
    </row>
    <row r="38" spans="1:6">
      <c r="A38" s="103"/>
      <c r="B38" s="9"/>
      <c r="C38" s="120"/>
      <c r="D38" s="24"/>
      <c r="E38" s="96"/>
      <c r="F38" s="104"/>
    </row>
    <row r="39" spans="1:6">
      <c r="A39" s="103" t="s">
        <v>543</v>
      </c>
      <c r="B39" s="250">
        <f>VLOOKUP($A39,'[1]Otras Aport.'!$A$10:$I$66,7,0)</f>
        <v>3475811</v>
      </c>
      <c r="C39" s="120">
        <f>SUM('Ingresos Reales'!N97)</f>
        <v>900000</v>
      </c>
      <c r="D39" s="24">
        <f>SUM('Presupuesto Ingresos'!N97)</f>
        <v>0</v>
      </c>
      <c r="E39" s="96">
        <f>SUM(C39-D39)</f>
        <v>900000</v>
      </c>
      <c r="F39" s="104"/>
    </row>
    <row r="40" spans="1:6" hidden="1">
      <c r="A40" s="103"/>
      <c r="B40" s="9"/>
      <c r="C40" s="120"/>
      <c r="D40" s="24"/>
      <c r="E40" s="96"/>
      <c r="F40" s="104"/>
    </row>
    <row r="41" spans="1:6" hidden="1">
      <c r="A41" s="103" t="s">
        <v>450</v>
      </c>
      <c r="B41" s="9"/>
      <c r="C41" s="120">
        <f>SUM('Ingresos Reales'!N98)</f>
        <v>0</v>
      </c>
      <c r="D41" s="24">
        <f>SUM('Presupuesto Ingresos'!N98)</f>
        <v>0</v>
      </c>
      <c r="E41" s="96">
        <f>SUM(C41-D41)</f>
        <v>0</v>
      </c>
      <c r="F41" s="104"/>
    </row>
    <row r="42" spans="1:6" hidden="1">
      <c r="A42" s="103"/>
      <c r="B42" s="9"/>
      <c r="C42" s="120"/>
      <c r="D42" s="24"/>
      <c r="E42" s="96"/>
      <c r="F42" s="104"/>
    </row>
    <row r="43" spans="1:6" hidden="1">
      <c r="A43" s="103" t="s">
        <v>457</v>
      </c>
      <c r="B43" s="9"/>
      <c r="C43" s="120">
        <f>SUM('Ingresos Reales'!N99)</f>
        <v>0</v>
      </c>
      <c r="D43" s="24">
        <f>SUM('Presupuesto Ingresos'!N99)</f>
        <v>0</v>
      </c>
      <c r="E43" s="96">
        <f>SUM(C43-D43)</f>
        <v>0</v>
      </c>
      <c r="F43" s="104"/>
    </row>
    <row r="44" spans="1:6">
      <c r="A44" s="103"/>
      <c r="B44" s="9"/>
      <c r="C44" s="120"/>
      <c r="D44" s="24"/>
      <c r="E44" s="96"/>
      <c r="F44" s="104"/>
    </row>
    <row r="45" spans="1:6">
      <c r="A45" s="103" t="s">
        <v>456</v>
      </c>
      <c r="B45" s="250">
        <f>VLOOKUP($A45,'[1]Otras Aport.'!$A$10:$I$66,7,0)</f>
        <v>5963843.6199999992</v>
      </c>
      <c r="C45" s="120">
        <f>SUM('Ingresos Reales'!N100)</f>
        <v>5414613.8599999994</v>
      </c>
      <c r="D45" s="24">
        <f>SUM('Presupuesto Ingresos'!N100)</f>
        <v>0</v>
      </c>
      <c r="E45" s="96">
        <f>SUM(C45-D45)</f>
        <v>5414613.8599999994</v>
      </c>
      <c r="F45" s="104"/>
    </row>
    <row r="46" spans="1:6">
      <c r="A46" s="103"/>
      <c r="B46" s="9"/>
      <c r="C46" s="120"/>
      <c r="D46" s="24"/>
      <c r="E46" s="96"/>
      <c r="F46" s="104"/>
    </row>
    <row r="47" spans="1:6">
      <c r="A47" s="103" t="s">
        <v>474</v>
      </c>
      <c r="B47" s="250">
        <f>VLOOKUP($A47,'[1]Otras Aport.'!$A$10:$I$66,7,0)</f>
        <v>0</v>
      </c>
      <c r="C47" s="120">
        <f>SUM('Ingresos Reales'!N101)</f>
        <v>13500000</v>
      </c>
      <c r="D47" s="24">
        <f>SUM('Presupuesto Ingresos'!N101)</f>
        <v>0</v>
      </c>
      <c r="E47" s="96">
        <f>SUM(C47-D47)</f>
        <v>13500000</v>
      </c>
      <c r="F47" s="104"/>
    </row>
    <row r="48" spans="1:6">
      <c r="A48" s="103"/>
      <c r="B48" s="9"/>
      <c r="C48" s="120"/>
      <c r="D48" s="24"/>
      <c r="E48" s="96"/>
      <c r="F48" s="104"/>
    </row>
    <row r="49" spans="1:6">
      <c r="A49" s="103" t="s">
        <v>531</v>
      </c>
      <c r="B49" s="250">
        <f>VLOOKUP($A49,'[1]Otras Aport.'!$A$10:$I$66,7,0)</f>
        <v>0</v>
      </c>
      <c r="C49" s="210">
        <f>SUM('Ingresos Reales'!N102)</f>
        <v>0</v>
      </c>
      <c r="D49" s="165">
        <f>SUM('Presupuesto Ingresos'!N102)</f>
        <v>0</v>
      </c>
      <c r="E49" s="225">
        <f>SUM(C49-D49)</f>
        <v>0</v>
      </c>
      <c r="F49" s="104"/>
    </row>
    <row r="50" spans="1:6">
      <c r="A50" s="103"/>
      <c r="B50" s="256"/>
      <c r="C50" s="210"/>
      <c r="D50" s="165"/>
      <c r="E50" s="225"/>
      <c r="F50" s="104"/>
    </row>
    <row r="51" spans="1:6">
      <c r="A51" s="103" t="s">
        <v>1146</v>
      </c>
      <c r="B51" s="250">
        <v>0</v>
      </c>
      <c r="C51" s="210">
        <f>SUM('Ingresos Reales'!N103)</f>
        <v>0</v>
      </c>
      <c r="D51" s="165">
        <f>SUM('Presupuesto Ingresos'!N103)</f>
        <v>0</v>
      </c>
      <c r="E51" s="225">
        <f>SUM(C51-D51)</f>
        <v>0</v>
      </c>
      <c r="F51" s="104"/>
    </row>
    <row r="52" spans="1:6">
      <c r="A52" s="103"/>
      <c r="B52" s="256"/>
      <c r="C52" s="210"/>
      <c r="D52" s="165"/>
      <c r="E52" s="225"/>
      <c r="F52" s="104"/>
    </row>
    <row r="53" spans="1:6">
      <c r="A53" s="103" t="s">
        <v>1163</v>
      </c>
      <c r="B53" s="250">
        <v>0</v>
      </c>
      <c r="C53" s="210">
        <f>SUM('Ingresos Reales'!N104)</f>
        <v>51668897.219999999</v>
      </c>
      <c r="D53" s="165">
        <f>SUM('Presupuesto Ingresos'!N104)</f>
        <v>0</v>
      </c>
      <c r="E53" s="225">
        <f>SUM(C53-D53)</f>
        <v>51668897.219999999</v>
      </c>
      <c r="F53" s="104"/>
    </row>
    <row r="54" spans="1:6">
      <c r="A54" s="103"/>
      <c r="B54" s="256"/>
      <c r="C54" s="210"/>
      <c r="D54" s="165"/>
      <c r="E54" s="225"/>
      <c r="F54" s="104"/>
    </row>
    <row r="55" spans="1:6">
      <c r="A55" s="103" t="s">
        <v>534</v>
      </c>
      <c r="B55" s="250">
        <f>VLOOKUP($A55,'[1]Otras Aport.'!$A$10:$I$66,7,0)</f>
        <v>0</v>
      </c>
      <c r="C55" s="210">
        <f>SUM('Ingresos Reales'!N105)</f>
        <v>214770</v>
      </c>
      <c r="D55" s="165">
        <f>SUM('Presupuesto Ingresos'!N105)</f>
        <v>0</v>
      </c>
      <c r="E55" s="225">
        <f>SUM(C55-D55)</f>
        <v>214770</v>
      </c>
      <c r="F55" s="104"/>
    </row>
    <row r="56" spans="1:6">
      <c r="A56" s="103"/>
      <c r="B56" s="256"/>
      <c r="C56" s="210"/>
      <c r="D56" s="165"/>
      <c r="E56" s="225"/>
      <c r="F56" s="104"/>
    </row>
    <row r="57" spans="1:6">
      <c r="A57" s="103" t="s">
        <v>603</v>
      </c>
      <c r="B57" s="250">
        <f>VLOOKUP($A57,'[1]Otras Aport.'!$A$10:$I$66,7,0)</f>
        <v>1513916.5</v>
      </c>
      <c r="C57" s="210">
        <f>SUM('Ingresos Reales'!N106)</f>
        <v>2540807.3199999998</v>
      </c>
      <c r="D57" s="165">
        <f>SUM('Presupuesto Ingresos'!N106)</f>
        <v>0</v>
      </c>
      <c r="E57" s="225">
        <f>SUM(C57-D57)</f>
        <v>2540807.3199999998</v>
      </c>
      <c r="F57" s="104"/>
    </row>
    <row r="58" spans="1:6">
      <c r="A58" s="103"/>
      <c r="B58" s="256"/>
      <c r="C58" s="210"/>
      <c r="D58" s="165"/>
      <c r="E58" s="225"/>
      <c r="F58" s="104"/>
    </row>
    <row r="59" spans="1:6">
      <c r="A59" s="103" t="s">
        <v>599</v>
      </c>
      <c r="B59" s="250">
        <f>VLOOKUP($A59,'[1]Otras Aport.'!$A$10:$I$66,7,0)</f>
        <v>1226882.8900000001</v>
      </c>
      <c r="C59" s="210">
        <f>SUM('Ingresos Reales'!N107)</f>
        <v>0</v>
      </c>
      <c r="D59" s="165">
        <f>SUM('Presupuesto Ingresos'!N107)</f>
        <v>0</v>
      </c>
      <c r="E59" s="225">
        <f>SUM(C59-D59)</f>
        <v>0</v>
      </c>
      <c r="F59" s="104"/>
    </row>
    <row r="60" spans="1:6">
      <c r="A60" s="103"/>
      <c r="B60" s="256"/>
      <c r="C60" s="210"/>
      <c r="D60" s="165"/>
      <c r="E60" s="225"/>
      <c r="F60" s="104"/>
    </row>
    <row r="61" spans="1:6">
      <c r="A61" s="103" t="s">
        <v>600</v>
      </c>
      <c r="B61" s="250">
        <f>VLOOKUP($A61,'[1]Otras Aport.'!$A$10:$I$66,7,0)</f>
        <v>150000</v>
      </c>
      <c r="C61" s="210">
        <f>SUM('Ingresos Reales'!N108)</f>
        <v>300000</v>
      </c>
      <c r="D61" s="165">
        <f>SUM('Presupuesto Ingresos'!N108)</f>
        <v>0</v>
      </c>
      <c r="E61" s="225">
        <f>SUM(C61-D61)</f>
        <v>300000</v>
      </c>
      <c r="F61" s="104"/>
    </row>
    <row r="62" spans="1:6">
      <c r="A62" s="103"/>
      <c r="B62" s="256"/>
      <c r="C62" s="210"/>
      <c r="D62" s="165"/>
      <c r="E62" s="225"/>
      <c r="F62" s="104"/>
    </row>
    <row r="63" spans="1:6">
      <c r="A63" s="103" t="s">
        <v>1173</v>
      </c>
      <c r="B63" s="250">
        <v>0</v>
      </c>
      <c r="C63" s="210">
        <f>SUM('Ingresos Reales'!N109)</f>
        <v>300000</v>
      </c>
      <c r="D63" s="165">
        <f>SUM('Presupuesto Ingresos'!N110)</f>
        <v>0</v>
      </c>
      <c r="E63" s="225">
        <f>SUM(C63-D63)</f>
        <v>300000</v>
      </c>
      <c r="F63" s="104"/>
    </row>
    <row r="64" spans="1:6">
      <c r="A64" s="103"/>
      <c r="B64" s="256"/>
      <c r="C64" s="210"/>
      <c r="D64" s="165"/>
      <c r="E64" s="225"/>
      <c r="F64" s="104"/>
    </row>
    <row r="65" spans="1:6">
      <c r="A65" s="107" t="s">
        <v>612</v>
      </c>
      <c r="B65" s="250">
        <f>VLOOKUP($A65,'[1]Otras Aport.'!$A$10:$I$66,7,0)</f>
        <v>10000000</v>
      </c>
      <c r="C65" s="210">
        <f>SUM('Ingresos Reales'!N110)</f>
        <v>20000000</v>
      </c>
      <c r="D65" s="165">
        <f>SUM('Presupuesto Ingresos'!N109)</f>
        <v>0</v>
      </c>
      <c r="E65" s="225">
        <f>SUM(C65-D65)</f>
        <v>20000000</v>
      </c>
      <c r="F65" s="104"/>
    </row>
    <row r="66" spans="1:6">
      <c r="A66" s="107"/>
      <c r="B66" s="256"/>
      <c r="C66" s="210"/>
      <c r="D66" s="165"/>
      <c r="E66" s="225"/>
      <c r="F66" s="104"/>
    </row>
    <row r="67" spans="1:6">
      <c r="A67" s="107" t="s">
        <v>610</v>
      </c>
      <c r="B67" s="250">
        <f>VLOOKUP($A67,'[1]Otras Aport.'!$A$10:$I$66,7,0)</f>
        <v>8360000</v>
      </c>
      <c r="C67" s="210">
        <f>SUM('Ingresos Reales'!N111)</f>
        <v>8000000</v>
      </c>
      <c r="D67" s="165">
        <f>SUM('Presupuesto Ingresos'!N110)</f>
        <v>0</v>
      </c>
      <c r="E67" s="225">
        <f>SUM(C67-D67)</f>
        <v>8000000</v>
      </c>
      <c r="F67" s="104"/>
    </row>
    <row r="68" spans="1:6">
      <c r="A68" s="103"/>
      <c r="B68" s="9"/>
      <c r="C68" s="45"/>
      <c r="D68" s="10"/>
      <c r="E68" s="10"/>
      <c r="F68" s="104"/>
    </row>
    <row r="69" spans="1:6">
      <c r="A69" s="266" t="s">
        <v>4</v>
      </c>
      <c r="B69" s="224">
        <f>SUM(B8:B67)</f>
        <v>64944745.189999998</v>
      </c>
      <c r="C69" s="224">
        <f>SUM(C8:C67)</f>
        <v>120750752.97</v>
      </c>
      <c r="D69" s="224">
        <f>SUM(D8:D67)</f>
        <v>0</v>
      </c>
      <c r="E69" s="224">
        <f>SUM(E8:E67)</f>
        <v>120750752.97</v>
      </c>
      <c r="F69" s="110"/>
    </row>
    <row r="70" spans="1:6" ht="13.5" thickBot="1">
      <c r="A70" s="113"/>
      <c r="B70" s="114"/>
      <c r="C70" s="114"/>
      <c r="D70" s="114"/>
      <c r="E70" s="114"/>
      <c r="F70" s="267"/>
    </row>
    <row r="72" spans="1:6">
      <c r="E72" s="30"/>
    </row>
  </sheetData>
  <mergeCells count="4">
    <mergeCell ref="A2:F2"/>
    <mergeCell ref="A3:F3"/>
    <mergeCell ref="B5:C5"/>
    <mergeCell ref="A1:F1"/>
  </mergeCells>
  <phoneticPr fontId="7" type="noConversion"/>
  <printOptions horizontalCentered="1"/>
  <pageMargins left="0.56999999999999995" right="0.33" top="0.17" bottom="0.31" header="0" footer="0"/>
  <pageSetup scale="8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>
      <selection activeCell="A12" sqref="A12:F12"/>
    </sheetView>
  </sheetViews>
  <sheetFormatPr baseColWidth="10" defaultRowHeight="12.75"/>
  <cols>
    <col min="1" max="1" width="37" bestFit="1" customWidth="1"/>
    <col min="2" max="5" width="14.85546875" customWidth="1"/>
    <col min="6" max="6" width="32" customWidth="1"/>
  </cols>
  <sheetData>
    <row r="1" spans="1:6" ht="15.75">
      <c r="A1" s="336" t="s">
        <v>366</v>
      </c>
      <c r="B1" s="336"/>
      <c r="C1" s="336"/>
      <c r="D1" s="336"/>
      <c r="E1" s="336"/>
      <c r="F1" s="336"/>
    </row>
    <row r="2" spans="1:6">
      <c r="A2" s="335" t="s">
        <v>1131</v>
      </c>
      <c r="B2" s="335"/>
      <c r="C2" s="335"/>
      <c r="D2" s="335"/>
      <c r="E2" s="335"/>
      <c r="F2" s="335"/>
    </row>
    <row r="3" spans="1:6">
      <c r="A3" s="335" t="s">
        <v>335</v>
      </c>
      <c r="B3" s="335"/>
      <c r="C3" s="335"/>
      <c r="D3" s="335"/>
      <c r="E3" s="335"/>
      <c r="F3" s="335"/>
    </row>
    <row r="4" spans="1:6" ht="13.5" thickBot="1"/>
    <row r="5" spans="1:6" ht="13.5" thickBot="1">
      <c r="A5" s="438" t="s">
        <v>0</v>
      </c>
      <c r="B5" s="439" t="s">
        <v>208</v>
      </c>
      <c r="C5" s="440"/>
      <c r="D5" s="441" t="s">
        <v>40</v>
      </c>
      <c r="E5" s="441" t="s">
        <v>41</v>
      </c>
      <c r="F5" s="438" t="s">
        <v>238</v>
      </c>
    </row>
    <row r="6" spans="1:6" ht="13.5" thickBot="1">
      <c r="A6" s="442"/>
      <c r="B6" s="443">
        <v>2010</v>
      </c>
      <c r="C6" s="443">
        <v>2011</v>
      </c>
      <c r="D6" s="443">
        <v>2011</v>
      </c>
      <c r="E6" s="443"/>
      <c r="F6" s="444"/>
    </row>
    <row r="7" spans="1:6" ht="13.5" thickBot="1"/>
    <row r="8" spans="1:6">
      <c r="A8" s="260"/>
      <c r="B8" s="116"/>
      <c r="C8" s="116"/>
      <c r="D8" s="116"/>
      <c r="E8" s="116"/>
      <c r="F8" s="263"/>
    </row>
    <row r="9" spans="1:6">
      <c r="A9" s="107" t="s">
        <v>201</v>
      </c>
      <c r="B9" s="250">
        <v>2500</v>
      </c>
      <c r="C9" s="96">
        <f>SUM('Ingresos Reales'!N112)</f>
        <v>0</v>
      </c>
      <c r="D9" s="24">
        <f>SUM('Presupuesto Ingresos'!N111)</f>
        <v>0</v>
      </c>
      <c r="E9" s="96">
        <f>SUM(C9-D9)</f>
        <v>0</v>
      </c>
      <c r="F9" s="108"/>
    </row>
    <row r="10" spans="1:6">
      <c r="A10" s="109"/>
      <c r="B10" s="25"/>
      <c r="C10" s="25"/>
      <c r="D10" s="25"/>
      <c r="E10" s="25"/>
      <c r="F10" s="108"/>
    </row>
    <row r="11" spans="1:6" ht="13.5" thickBot="1">
      <c r="A11" s="103"/>
      <c r="B11" s="45"/>
      <c r="C11" s="45"/>
      <c r="D11" s="45"/>
      <c r="E11" s="45"/>
      <c r="F11" s="108"/>
    </row>
    <row r="12" spans="1:6" ht="25.5" customHeight="1" thickBot="1">
      <c r="A12" s="454" t="s">
        <v>4</v>
      </c>
      <c r="B12" s="459">
        <f>SUM(B8:B10)</f>
        <v>2500</v>
      </c>
      <c r="C12" s="455">
        <f>SUM(C8:C10)</f>
        <v>0</v>
      </c>
      <c r="D12" s="459">
        <f>SUM(D8:D10)</f>
        <v>0</v>
      </c>
      <c r="E12" s="455">
        <f>SUM(E8:E10)</f>
        <v>0</v>
      </c>
      <c r="F12" s="456"/>
    </row>
    <row r="13" spans="1:6">
      <c r="A13" s="103"/>
      <c r="B13" s="14"/>
      <c r="C13" s="14"/>
      <c r="D13" s="14"/>
      <c r="E13" s="14"/>
      <c r="F13" s="104"/>
    </row>
    <row r="14" spans="1:6">
      <c r="A14" s="103"/>
      <c r="B14" s="14"/>
      <c r="C14" s="14"/>
      <c r="D14" s="14"/>
      <c r="E14" s="14"/>
      <c r="F14" s="104"/>
    </row>
    <row r="15" spans="1:6">
      <c r="A15" s="103"/>
      <c r="B15" s="14"/>
      <c r="C15" s="14"/>
      <c r="D15" s="14"/>
      <c r="E15" s="14"/>
      <c r="F15" s="104"/>
    </row>
    <row r="16" spans="1:6">
      <c r="A16" s="103"/>
      <c r="B16" s="14"/>
      <c r="C16" s="14"/>
      <c r="D16" s="14"/>
      <c r="E16" s="14"/>
      <c r="F16" s="104"/>
    </row>
    <row r="17" spans="1:6">
      <c r="A17" s="103"/>
      <c r="B17" s="14"/>
      <c r="C17" s="14"/>
      <c r="D17" s="14"/>
      <c r="E17" s="14"/>
      <c r="F17" s="104"/>
    </row>
    <row r="18" spans="1:6">
      <c r="A18" s="103"/>
      <c r="B18" s="14"/>
      <c r="C18" s="14"/>
      <c r="D18" s="14"/>
      <c r="E18" s="14"/>
      <c r="F18" s="104"/>
    </row>
    <row r="19" spans="1:6">
      <c r="A19" s="103"/>
      <c r="B19" s="14"/>
      <c r="C19" s="14"/>
      <c r="D19" s="14"/>
      <c r="E19" s="14"/>
      <c r="F19" s="104"/>
    </row>
    <row r="20" spans="1:6">
      <c r="A20" s="103"/>
      <c r="B20" s="14"/>
      <c r="C20" s="14"/>
      <c r="D20" s="14"/>
      <c r="E20" s="14"/>
      <c r="F20" s="104"/>
    </row>
    <row r="21" spans="1:6">
      <c r="A21" s="103"/>
      <c r="B21" s="14"/>
      <c r="C21" s="14"/>
      <c r="D21" s="14"/>
      <c r="E21" s="14"/>
      <c r="F21" s="104"/>
    </row>
    <row r="22" spans="1:6">
      <c r="A22" s="103"/>
      <c r="B22" s="14"/>
      <c r="C22" s="14"/>
      <c r="D22" s="14"/>
      <c r="E22" s="14"/>
      <c r="F22" s="104"/>
    </row>
    <row r="23" spans="1:6">
      <c r="A23" s="103"/>
      <c r="B23" s="14"/>
      <c r="C23" s="14"/>
      <c r="D23" s="14"/>
      <c r="E23" s="14"/>
      <c r="F23" s="104"/>
    </row>
    <row r="24" spans="1:6">
      <c r="A24" s="103"/>
      <c r="B24" s="14"/>
      <c r="C24" s="14"/>
      <c r="D24" s="14"/>
      <c r="E24" s="14"/>
      <c r="F24" s="104"/>
    </row>
    <row r="25" spans="1:6">
      <c r="A25" s="103"/>
      <c r="B25" s="14"/>
      <c r="C25" s="14"/>
      <c r="D25" s="14"/>
      <c r="E25" s="14"/>
      <c r="F25" s="104"/>
    </row>
    <row r="26" spans="1:6">
      <c r="A26" s="103"/>
      <c r="B26" s="14"/>
      <c r="C26" s="14"/>
      <c r="D26" s="14"/>
      <c r="E26" s="14"/>
      <c r="F26" s="104"/>
    </row>
    <row r="27" spans="1:6">
      <c r="A27" s="103"/>
      <c r="B27" s="14"/>
      <c r="C27" s="14"/>
      <c r="D27" s="14"/>
      <c r="E27" s="14"/>
      <c r="F27" s="104"/>
    </row>
    <row r="28" spans="1:6">
      <c r="A28" s="103"/>
      <c r="B28" s="14"/>
      <c r="C28" s="14"/>
      <c r="D28" s="14"/>
      <c r="E28" s="14"/>
      <c r="F28" s="104"/>
    </row>
    <row r="29" spans="1:6">
      <c r="A29" s="103"/>
      <c r="B29" s="14"/>
      <c r="C29" s="14"/>
      <c r="D29" s="14"/>
      <c r="E29" s="14"/>
      <c r="F29" s="104"/>
    </row>
    <row r="30" spans="1:6">
      <c r="A30" s="103"/>
      <c r="B30" s="14"/>
      <c r="C30" s="14"/>
      <c r="D30" s="14"/>
      <c r="E30" s="14"/>
      <c r="F30" s="104"/>
    </row>
    <row r="31" spans="1:6">
      <c r="A31" s="103"/>
      <c r="B31" s="14"/>
      <c r="C31" s="14"/>
      <c r="D31" s="14"/>
      <c r="E31" s="14"/>
      <c r="F31" s="104"/>
    </row>
    <row r="32" spans="1:6">
      <c r="A32" s="103"/>
      <c r="B32" s="14"/>
      <c r="C32" s="14"/>
      <c r="D32" s="14"/>
      <c r="E32" s="14"/>
      <c r="F32" s="104"/>
    </row>
    <row r="33" spans="1:6">
      <c r="A33" s="103"/>
      <c r="B33" s="14"/>
      <c r="C33" s="14"/>
      <c r="D33" s="14"/>
      <c r="E33" s="14"/>
      <c r="F33" s="104"/>
    </row>
    <row r="34" spans="1:6">
      <c r="A34" s="103"/>
      <c r="B34" s="14"/>
      <c r="C34" s="14"/>
      <c r="D34" s="14"/>
      <c r="E34" s="14"/>
      <c r="F34" s="104"/>
    </row>
    <row r="35" spans="1:6">
      <c r="A35" s="103"/>
      <c r="B35" s="14"/>
      <c r="C35" s="14"/>
      <c r="D35" s="14"/>
      <c r="E35" s="14"/>
      <c r="F35" s="104"/>
    </row>
    <row r="36" spans="1:6">
      <c r="A36" s="103"/>
      <c r="B36" s="14"/>
      <c r="C36" s="14"/>
      <c r="D36" s="14"/>
      <c r="E36" s="14"/>
      <c r="F36" s="104"/>
    </row>
    <row r="37" spans="1:6">
      <c r="A37" s="103"/>
      <c r="B37" s="14"/>
      <c r="C37" s="14"/>
      <c r="D37" s="14"/>
      <c r="E37" s="14"/>
      <c r="F37" s="104"/>
    </row>
    <row r="38" spans="1:6">
      <c r="A38" s="103"/>
      <c r="B38" s="14"/>
      <c r="C38" s="14"/>
      <c r="D38" s="14"/>
      <c r="E38" s="14"/>
      <c r="F38" s="104"/>
    </row>
    <row r="39" spans="1:6">
      <c r="A39" s="103"/>
      <c r="B39" s="14"/>
      <c r="C39" s="14"/>
      <c r="D39" s="14"/>
      <c r="E39" s="14"/>
      <c r="F39" s="104"/>
    </row>
    <row r="40" spans="1:6">
      <c r="A40" s="103"/>
      <c r="B40" s="14"/>
      <c r="C40" s="14"/>
      <c r="D40" s="14"/>
      <c r="E40" s="14"/>
      <c r="F40" s="104"/>
    </row>
    <row r="41" spans="1:6">
      <c r="A41" s="103"/>
      <c r="B41" s="14"/>
      <c r="C41" s="14"/>
      <c r="D41" s="14"/>
      <c r="E41" s="14"/>
      <c r="F41" s="104"/>
    </row>
    <row r="42" spans="1:6">
      <c r="A42" s="103"/>
      <c r="B42" s="14"/>
      <c r="C42" s="14"/>
      <c r="D42" s="14"/>
      <c r="E42" s="14"/>
      <c r="F42" s="104"/>
    </row>
    <row r="43" spans="1:6">
      <c r="A43" s="103"/>
      <c r="B43" s="14"/>
      <c r="C43" s="14"/>
      <c r="D43" s="14"/>
      <c r="E43" s="14"/>
      <c r="F43" s="104"/>
    </row>
    <row r="44" spans="1:6" ht="13.5" thickBot="1">
      <c r="A44" s="113"/>
      <c r="B44" s="114"/>
      <c r="C44" s="114"/>
      <c r="D44" s="114"/>
      <c r="E44" s="114"/>
      <c r="F44" s="115"/>
    </row>
  </sheetData>
  <mergeCells count="4">
    <mergeCell ref="A2:F2"/>
    <mergeCell ref="A3:F3"/>
    <mergeCell ref="B5:C5"/>
    <mergeCell ref="A1:F1"/>
  </mergeCells>
  <phoneticPr fontId="7" type="noConversion"/>
  <printOptions horizontalCentered="1"/>
  <pageMargins left="0.3" right="0.17" top="0.2" bottom="0.21" header="0" footer="0"/>
  <pageSetup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workbookViewId="0">
      <selection activeCell="A6" sqref="A5:F6"/>
    </sheetView>
  </sheetViews>
  <sheetFormatPr baseColWidth="10" defaultRowHeight="12.75"/>
  <cols>
    <col min="1" max="1" width="37" bestFit="1" customWidth="1"/>
    <col min="2" max="5" width="14.85546875" customWidth="1"/>
    <col min="6" max="6" width="35.42578125" customWidth="1"/>
  </cols>
  <sheetData>
    <row r="1" spans="1:6" ht="15.75">
      <c r="A1" s="336" t="s">
        <v>366</v>
      </c>
      <c r="B1" s="336"/>
      <c r="C1" s="336"/>
      <c r="D1" s="336"/>
      <c r="E1" s="336"/>
      <c r="F1" s="336"/>
    </row>
    <row r="2" spans="1:6">
      <c r="A2" s="335" t="s">
        <v>1131</v>
      </c>
      <c r="B2" s="335"/>
      <c r="C2" s="335"/>
      <c r="D2" s="335"/>
      <c r="E2" s="335"/>
      <c r="F2" s="335"/>
    </row>
    <row r="3" spans="1:6">
      <c r="A3" s="335" t="s">
        <v>232</v>
      </c>
      <c r="B3" s="335"/>
      <c r="C3" s="335"/>
      <c r="D3" s="335"/>
      <c r="E3" s="335"/>
      <c r="F3" s="335"/>
    </row>
    <row r="4" spans="1:6" ht="13.5" thickBot="1"/>
    <row r="5" spans="1:6" ht="13.5" thickBot="1">
      <c r="A5" s="438" t="s">
        <v>0</v>
      </c>
      <c r="B5" s="439" t="s">
        <v>208</v>
      </c>
      <c r="C5" s="440"/>
      <c r="D5" s="441" t="s">
        <v>40</v>
      </c>
      <c r="E5" s="441" t="s">
        <v>41</v>
      </c>
      <c r="F5" s="438" t="s">
        <v>238</v>
      </c>
    </row>
    <row r="6" spans="1:6" ht="13.5" thickBot="1">
      <c r="A6" s="442"/>
      <c r="B6" s="443">
        <v>2010</v>
      </c>
      <c r="C6" s="443">
        <v>2011</v>
      </c>
      <c r="D6" s="443">
        <v>2011</v>
      </c>
      <c r="E6" s="443"/>
      <c r="F6" s="444"/>
    </row>
    <row r="7" spans="1:6" ht="13.5" thickBot="1"/>
    <row r="8" spans="1:6">
      <c r="A8" s="260"/>
      <c r="B8" s="116"/>
      <c r="C8" s="116"/>
      <c r="D8" s="116"/>
      <c r="E8" s="116"/>
      <c r="F8" s="263"/>
    </row>
    <row r="9" spans="1:6">
      <c r="A9" s="107" t="s">
        <v>161</v>
      </c>
      <c r="B9" s="250">
        <f>VLOOKUP($A9,[1]Financiamientos!$A$10:$H$18,7,0)</f>
        <v>161000000</v>
      </c>
      <c r="C9" s="96">
        <f>SUM('Ingresos Reales'!N115)</f>
        <v>236600000</v>
      </c>
      <c r="D9" s="24">
        <f>SUM('Presupuesto Ingresos'!N114)</f>
        <v>81097484.329999998</v>
      </c>
      <c r="E9" s="96">
        <f>SUM(C9-D9)</f>
        <v>155502515.67000002</v>
      </c>
      <c r="F9" s="108"/>
    </row>
    <row r="10" spans="1:6">
      <c r="A10" s="107"/>
      <c r="B10" s="250"/>
      <c r="C10" s="24"/>
      <c r="D10" s="24"/>
      <c r="E10" s="24"/>
      <c r="F10" s="108"/>
    </row>
    <row r="11" spans="1:6">
      <c r="A11" s="107" t="s">
        <v>162</v>
      </c>
      <c r="B11" s="250">
        <f>VLOOKUP($A11,[1]Financiamientos!$A$10:$H$18,7,0)</f>
        <v>0</v>
      </c>
      <c r="C11" s="96">
        <f>SUM('Ingresos Reales'!N116)</f>
        <v>0</v>
      </c>
      <c r="D11" s="24">
        <f>SUM('Presupuesto Ingresos'!N115)</f>
        <v>0</v>
      </c>
      <c r="E11" s="96">
        <f>SUM(C11-D11)</f>
        <v>0</v>
      </c>
      <c r="F11" s="108"/>
    </row>
    <row r="12" spans="1:6">
      <c r="A12" s="107"/>
      <c r="B12" s="250"/>
      <c r="C12" s="24"/>
      <c r="D12" s="24"/>
      <c r="E12" s="24"/>
      <c r="F12" s="108"/>
    </row>
    <row r="13" spans="1:6">
      <c r="A13" s="107" t="s">
        <v>163</v>
      </c>
      <c r="B13" s="250">
        <f>VLOOKUP($A13,[1]Financiamientos!$A$10:$H$18,7,0)</f>
        <v>0</v>
      </c>
      <c r="C13" s="96">
        <f>SUM('Ingresos Reales'!N117)</f>
        <v>0</v>
      </c>
      <c r="D13" s="24">
        <f>SUM('Presupuesto Ingresos'!N116)</f>
        <v>0</v>
      </c>
      <c r="E13" s="96">
        <f>SUM(C13-D13)</f>
        <v>0</v>
      </c>
      <c r="F13" s="108"/>
    </row>
    <row r="14" spans="1:6">
      <c r="A14" s="107"/>
      <c r="B14" s="250"/>
      <c r="C14" s="96"/>
      <c r="D14" s="24"/>
      <c r="E14" s="96"/>
      <c r="F14" s="108"/>
    </row>
    <row r="15" spans="1:6">
      <c r="A15" s="107" t="s">
        <v>346</v>
      </c>
      <c r="B15" s="250">
        <f>VLOOKUP($A15,[1]Financiamientos!$A$10:$H$18,7,0)</f>
        <v>27608463.199999999</v>
      </c>
      <c r="C15" s="96">
        <f>SUM('Ingresos Reales'!N118)</f>
        <v>0</v>
      </c>
      <c r="D15" s="24">
        <f>SUM('Presupuesto Ingresos'!N117)</f>
        <v>0</v>
      </c>
      <c r="E15" s="96">
        <f>SUM(C15-D15)</f>
        <v>0</v>
      </c>
      <c r="F15" s="108"/>
    </row>
    <row r="16" spans="1:6">
      <c r="A16" s="107"/>
      <c r="B16" s="250"/>
      <c r="C16" s="96"/>
      <c r="D16" s="24"/>
      <c r="E16" s="96"/>
      <c r="F16" s="108"/>
    </row>
    <row r="17" spans="1:6">
      <c r="A17" s="107" t="s">
        <v>398</v>
      </c>
      <c r="B17" s="250">
        <f>VLOOKUP($A17,[1]Financiamientos!$A$10:$H$18,7,0)</f>
        <v>0</v>
      </c>
      <c r="C17" s="96">
        <f>SUM('Ingresos Reales'!N119)</f>
        <v>0</v>
      </c>
      <c r="D17" s="24">
        <f>SUM('Presupuesto Ingresos'!N118)</f>
        <v>0</v>
      </c>
      <c r="E17" s="96">
        <f>SUM(C17-D17)</f>
        <v>0</v>
      </c>
      <c r="F17" s="108"/>
    </row>
    <row r="18" spans="1:6">
      <c r="A18" s="109"/>
      <c r="B18" s="25"/>
      <c r="C18" s="25"/>
      <c r="D18" s="25"/>
      <c r="E18" s="25"/>
      <c r="F18" s="108"/>
    </row>
    <row r="19" spans="1:6" ht="13.5" thickBot="1">
      <c r="A19" s="103"/>
      <c r="B19" s="45"/>
      <c r="C19" s="45"/>
      <c r="D19" s="45"/>
      <c r="E19" s="45"/>
      <c r="F19" s="108"/>
    </row>
    <row r="20" spans="1:6" ht="27.75" customHeight="1" thickBot="1">
      <c r="A20" s="426" t="s">
        <v>4</v>
      </c>
      <c r="B20" s="427">
        <f>SUM(B8:B18)</f>
        <v>188608463.19999999</v>
      </c>
      <c r="C20" s="452">
        <f>SUM(C8:C18)</f>
        <v>236600000</v>
      </c>
      <c r="D20" s="427">
        <f>SUM(D8:D18)</f>
        <v>81097484.329999998</v>
      </c>
      <c r="E20" s="452">
        <f>SUM(E8:E18)</f>
        <v>155502515.67000002</v>
      </c>
      <c r="F20" s="457"/>
    </row>
    <row r="21" spans="1:6">
      <c r="A21" s="103"/>
      <c r="B21" s="14"/>
      <c r="C21" s="14"/>
      <c r="D21" s="14"/>
      <c r="E21" s="14"/>
      <c r="F21" s="104"/>
    </row>
    <row r="22" spans="1:6">
      <c r="A22" s="103"/>
      <c r="B22" s="14"/>
      <c r="C22" s="14"/>
      <c r="D22" s="14"/>
      <c r="E22" s="14"/>
      <c r="F22" s="104"/>
    </row>
    <row r="23" spans="1:6">
      <c r="A23" s="103"/>
      <c r="B23" s="14"/>
      <c r="C23" s="14"/>
      <c r="D23" s="14"/>
      <c r="E23" s="14"/>
      <c r="F23" s="104"/>
    </row>
    <row r="24" spans="1:6">
      <c r="A24" s="103"/>
      <c r="B24" s="14"/>
      <c r="C24" s="14"/>
      <c r="D24" s="14"/>
      <c r="E24" s="14"/>
      <c r="F24" s="104"/>
    </row>
    <row r="25" spans="1:6">
      <c r="A25" s="103"/>
      <c r="B25" s="14"/>
      <c r="C25" s="14"/>
      <c r="D25" s="14"/>
      <c r="E25" s="14"/>
      <c r="F25" s="104"/>
    </row>
    <row r="26" spans="1:6">
      <c r="A26" s="103"/>
      <c r="B26" s="14"/>
      <c r="C26" s="14"/>
      <c r="D26" s="14"/>
      <c r="E26" s="14"/>
      <c r="F26" s="104"/>
    </row>
    <row r="27" spans="1:6">
      <c r="A27" s="103"/>
      <c r="B27" s="14"/>
      <c r="C27" s="14"/>
      <c r="D27" s="14"/>
      <c r="E27" s="14"/>
      <c r="F27" s="104"/>
    </row>
    <row r="28" spans="1:6">
      <c r="A28" s="103"/>
      <c r="B28" s="14"/>
      <c r="C28" s="14"/>
      <c r="D28" s="14"/>
      <c r="E28" s="14"/>
      <c r="F28" s="104"/>
    </row>
    <row r="29" spans="1:6">
      <c r="A29" s="103"/>
      <c r="B29" s="14"/>
      <c r="C29" s="14"/>
      <c r="D29" s="14"/>
      <c r="E29" s="14"/>
      <c r="F29" s="104"/>
    </row>
    <row r="30" spans="1:6">
      <c r="A30" s="103"/>
      <c r="B30" s="14"/>
      <c r="C30" s="14"/>
      <c r="D30" s="14"/>
      <c r="E30" s="14"/>
      <c r="F30" s="104"/>
    </row>
    <row r="31" spans="1:6">
      <c r="A31" s="103"/>
      <c r="B31" s="14"/>
      <c r="C31" s="14"/>
      <c r="D31" s="14"/>
      <c r="E31" s="14"/>
      <c r="F31" s="104"/>
    </row>
    <row r="32" spans="1:6">
      <c r="A32" s="103"/>
      <c r="B32" s="14"/>
      <c r="C32" s="14"/>
      <c r="D32" s="14"/>
      <c r="E32" s="14"/>
      <c r="F32" s="104"/>
    </row>
    <row r="33" spans="1:6">
      <c r="A33" s="103"/>
      <c r="B33" s="14"/>
      <c r="C33" s="14"/>
      <c r="D33" s="14"/>
      <c r="E33" s="14"/>
      <c r="F33" s="104"/>
    </row>
    <row r="34" spans="1:6">
      <c r="A34" s="103"/>
      <c r="B34" s="14"/>
      <c r="C34" s="14"/>
      <c r="D34" s="14"/>
      <c r="E34" s="14"/>
      <c r="F34" s="104"/>
    </row>
    <row r="35" spans="1:6">
      <c r="A35" s="103"/>
      <c r="B35" s="14"/>
      <c r="C35" s="14"/>
      <c r="D35" s="14"/>
      <c r="E35" s="14"/>
      <c r="F35" s="104"/>
    </row>
    <row r="36" spans="1:6">
      <c r="A36" s="103"/>
      <c r="B36" s="14"/>
      <c r="C36" s="14"/>
      <c r="D36" s="14"/>
      <c r="E36" s="14"/>
      <c r="F36" s="104"/>
    </row>
    <row r="37" spans="1:6">
      <c r="A37" s="103"/>
      <c r="B37" s="14"/>
      <c r="C37" s="14"/>
      <c r="D37" s="14"/>
      <c r="E37" s="14"/>
      <c r="F37" s="104"/>
    </row>
    <row r="38" spans="1:6">
      <c r="A38" s="103"/>
      <c r="B38" s="14"/>
      <c r="C38" s="14"/>
      <c r="D38" s="14"/>
      <c r="E38" s="14"/>
      <c r="F38" s="104"/>
    </row>
    <row r="39" spans="1:6">
      <c r="A39" s="103"/>
      <c r="B39" s="14"/>
      <c r="C39" s="14"/>
      <c r="D39" s="14"/>
      <c r="E39" s="14"/>
      <c r="F39" s="104"/>
    </row>
    <row r="40" spans="1:6">
      <c r="A40" s="103"/>
      <c r="B40" s="14"/>
      <c r="C40" s="14"/>
      <c r="D40" s="14"/>
      <c r="E40" s="14"/>
      <c r="F40" s="104"/>
    </row>
    <row r="41" spans="1:6">
      <c r="A41" s="103"/>
      <c r="B41" s="14"/>
      <c r="C41" s="14"/>
      <c r="D41" s="14"/>
      <c r="E41" s="14"/>
      <c r="F41" s="104"/>
    </row>
    <row r="42" spans="1:6">
      <c r="A42" s="103"/>
      <c r="B42" s="14"/>
      <c r="C42" s="14"/>
      <c r="D42" s="14"/>
      <c r="E42" s="14"/>
      <c r="F42" s="104"/>
    </row>
    <row r="43" spans="1:6">
      <c r="A43" s="103"/>
      <c r="B43" s="14"/>
      <c r="C43" s="14"/>
      <c r="D43" s="14"/>
      <c r="E43" s="14"/>
      <c r="F43" s="104"/>
    </row>
    <row r="44" spans="1:6">
      <c r="A44" s="103"/>
      <c r="B44" s="14"/>
      <c r="C44" s="14"/>
      <c r="D44" s="14"/>
      <c r="E44" s="14"/>
      <c r="F44" s="104"/>
    </row>
    <row r="45" spans="1:6">
      <c r="A45" s="103"/>
      <c r="B45" s="14"/>
      <c r="C45" s="14"/>
      <c r="D45" s="14"/>
      <c r="E45" s="14"/>
      <c r="F45" s="104"/>
    </row>
    <row r="46" spans="1:6">
      <c r="A46" s="103"/>
      <c r="B46" s="14"/>
      <c r="C46" s="14"/>
      <c r="D46" s="14"/>
      <c r="E46" s="14"/>
      <c r="F46" s="104"/>
    </row>
    <row r="47" spans="1:6" ht="13.5" thickBot="1">
      <c r="A47" s="113"/>
      <c r="B47" s="114"/>
      <c r="C47" s="114"/>
      <c r="D47" s="114"/>
      <c r="E47" s="114"/>
      <c r="F47" s="115"/>
    </row>
  </sheetData>
  <mergeCells count="4">
    <mergeCell ref="A2:F2"/>
    <mergeCell ref="A3:F3"/>
    <mergeCell ref="B5:C5"/>
    <mergeCell ref="A1:F1"/>
  </mergeCells>
  <phoneticPr fontId="7" type="noConversion"/>
  <printOptions horizontalCentered="1"/>
  <pageMargins left="0.32" right="0.39370078740157483" top="0.25" bottom="0.39370078740157483" header="0" footer="0"/>
  <pageSetup scale="9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>
      <selection activeCell="A12" sqref="A12:F12"/>
    </sheetView>
  </sheetViews>
  <sheetFormatPr baseColWidth="10" defaultRowHeight="12.75"/>
  <cols>
    <col min="1" max="1" width="37" bestFit="1" customWidth="1"/>
    <col min="2" max="5" width="14.85546875" customWidth="1"/>
    <col min="6" max="6" width="31.7109375" customWidth="1"/>
  </cols>
  <sheetData>
    <row r="1" spans="1:6" ht="15.75">
      <c r="A1" s="336" t="s">
        <v>366</v>
      </c>
      <c r="B1" s="336"/>
      <c r="C1" s="336"/>
      <c r="D1" s="336"/>
      <c r="E1" s="336"/>
      <c r="F1" s="336"/>
    </row>
    <row r="2" spans="1:6">
      <c r="A2" s="335" t="s">
        <v>1131</v>
      </c>
      <c r="B2" s="335"/>
      <c r="C2" s="335"/>
      <c r="D2" s="335"/>
      <c r="E2" s="335"/>
      <c r="F2" s="335"/>
    </row>
    <row r="3" spans="1:6">
      <c r="A3" s="335" t="s">
        <v>48</v>
      </c>
      <c r="B3" s="335"/>
      <c r="C3" s="335"/>
      <c r="D3" s="335"/>
      <c r="E3" s="335"/>
      <c r="F3" s="335"/>
    </row>
    <row r="4" spans="1:6" ht="13.5" thickBot="1"/>
    <row r="5" spans="1:6" ht="13.5" thickBot="1">
      <c r="A5" s="438" t="s">
        <v>0</v>
      </c>
      <c r="B5" s="439" t="s">
        <v>208</v>
      </c>
      <c r="C5" s="440"/>
      <c r="D5" s="441" t="s">
        <v>40</v>
      </c>
      <c r="E5" s="441" t="s">
        <v>41</v>
      </c>
      <c r="F5" s="438" t="s">
        <v>238</v>
      </c>
    </row>
    <row r="6" spans="1:6" ht="13.5" thickBot="1">
      <c r="A6" s="442"/>
      <c r="B6" s="443">
        <v>2010</v>
      </c>
      <c r="C6" s="443">
        <v>2011</v>
      </c>
      <c r="D6" s="443">
        <v>2011</v>
      </c>
      <c r="E6" s="443"/>
      <c r="F6" s="444"/>
    </row>
    <row r="7" spans="1:6" ht="13.5" thickBot="1"/>
    <row r="8" spans="1:6">
      <c r="A8" s="260"/>
      <c r="B8" s="116"/>
      <c r="C8" s="116"/>
      <c r="D8" s="116"/>
      <c r="E8" s="116"/>
      <c r="F8" s="263"/>
    </row>
    <row r="9" spans="1:6">
      <c r="A9" s="107" t="s">
        <v>3</v>
      </c>
      <c r="B9" s="250">
        <v>4920860.7699999996</v>
      </c>
      <c r="C9" s="96">
        <f>SUM('Ingresos Reales'!N121)</f>
        <v>44313719.489999995</v>
      </c>
      <c r="D9" s="24">
        <f>SUM('Presupuesto Ingresos'!N120)</f>
        <v>0</v>
      </c>
      <c r="E9" s="96">
        <f>SUM(C9-D9)</f>
        <v>44313719.489999995</v>
      </c>
      <c r="F9" s="108"/>
    </row>
    <row r="10" spans="1:6">
      <c r="A10" s="109"/>
      <c r="B10" s="25"/>
      <c r="C10" s="25"/>
      <c r="D10" s="25"/>
      <c r="E10" s="25"/>
      <c r="F10" s="108"/>
    </row>
    <row r="11" spans="1:6">
      <c r="A11" s="103"/>
      <c r="B11" s="45"/>
      <c r="C11" s="45"/>
      <c r="D11" s="45"/>
      <c r="E11" s="45"/>
      <c r="F11" s="108"/>
    </row>
    <row r="12" spans="1:6" ht="26.25" customHeight="1">
      <c r="A12" s="466" t="s">
        <v>4</v>
      </c>
      <c r="B12" s="437">
        <f>SUM(B8:B10)</f>
        <v>4920860.7699999996</v>
      </c>
      <c r="C12" s="451">
        <f>SUM(C8:C10)</f>
        <v>44313719.489999995</v>
      </c>
      <c r="D12" s="437">
        <f>SUM(D8:D10)</f>
        <v>0</v>
      </c>
      <c r="E12" s="451">
        <f>SUM(E8:E10)</f>
        <v>44313719.489999995</v>
      </c>
      <c r="F12" s="467"/>
    </row>
    <row r="13" spans="1:6">
      <c r="A13" s="103"/>
      <c r="B13" s="14"/>
      <c r="C13" s="14"/>
      <c r="D13" s="14"/>
      <c r="E13" s="14"/>
      <c r="F13" s="104"/>
    </row>
    <row r="14" spans="1:6">
      <c r="A14" s="103"/>
      <c r="B14" s="14"/>
      <c r="C14" s="14"/>
      <c r="D14" s="14"/>
      <c r="E14" s="14"/>
      <c r="F14" s="104"/>
    </row>
    <row r="15" spans="1:6">
      <c r="A15" s="103"/>
      <c r="B15" s="14"/>
      <c r="C15" s="14"/>
      <c r="D15" s="14"/>
      <c r="E15" s="14"/>
      <c r="F15" s="104"/>
    </row>
    <row r="16" spans="1:6">
      <c r="A16" s="103"/>
      <c r="B16" s="14"/>
      <c r="C16" s="14"/>
      <c r="D16" s="14"/>
      <c r="E16" s="14"/>
      <c r="F16" s="104"/>
    </row>
    <row r="17" spans="1:6">
      <c r="A17" s="103"/>
      <c r="B17" s="14"/>
      <c r="C17" s="14"/>
      <c r="D17" s="14"/>
      <c r="E17" s="14"/>
      <c r="F17" s="104"/>
    </row>
    <row r="18" spans="1:6">
      <c r="A18" s="103"/>
      <c r="B18" s="14"/>
      <c r="C18" s="14"/>
      <c r="D18" s="14"/>
      <c r="E18" s="14"/>
      <c r="F18" s="104"/>
    </row>
    <row r="19" spans="1:6">
      <c r="A19" s="103"/>
      <c r="B19" s="14"/>
      <c r="C19" s="14"/>
      <c r="D19" s="14"/>
      <c r="E19" s="14"/>
      <c r="F19" s="104"/>
    </row>
    <row r="20" spans="1:6">
      <c r="A20" s="103"/>
      <c r="B20" s="14"/>
      <c r="C20" s="14"/>
      <c r="D20" s="14"/>
      <c r="E20" s="14"/>
      <c r="F20" s="104"/>
    </row>
    <row r="21" spans="1:6">
      <c r="A21" s="103"/>
      <c r="B21" s="14"/>
      <c r="C21" s="14"/>
      <c r="D21" s="14"/>
      <c r="E21" s="14"/>
      <c r="F21" s="104"/>
    </row>
    <row r="22" spans="1:6">
      <c r="A22" s="103"/>
      <c r="B22" s="14"/>
      <c r="C22" s="14"/>
      <c r="D22" s="14"/>
      <c r="E22" s="14"/>
      <c r="F22" s="104"/>
    </row>
    <row r="23" spans="1:6">
      <c r="A23" s="103"/>
      <c r="B23" s="14"/>
      <c r="C23" s="14"/>
      <c r="D23" s="14"/>
      <c r="E23" s="14"/>
      <c r="F23" s="104"/>
    </row>
    <row r="24" spans="1:6">
      <c r="A24" s="103"/>
      <c r="B24" s="14"/>
      <c r="C24" s="14"/>
      <c r="D24" s="14"/>
      <c r="E24" s="14"/>
      <c r="F24" s="104"/>
    </row>
    <row r="25" spans="1:6">
      <c r="A25" s="103"/>
      <c r="B25" s="14"/>
      <c r="C25" s="14"/>
      <c r="D25" s="14"/>
      <c r="E25" s="14"/>
      <c r="F25" s="104"/>
    </row>
    <row r="26" spans="1:6">
      <c r="A26" s="103"/>
      <c r="B26" s="14"/>
      <c r="C26" s="14"/>
      <c r="D26" s="14"/>
      <c r="E26" s="14"/>
      <c r="F26" s="104"/>
    </row>
    <row r="27" spans="1:6">
      <c r="A27" s="103"/>
      <c r="B27" s="14"/>
      <c r="C27" s="14"/>
      <c r="D27" s="14"/>
      <c r="E27" s="14"/>
      <c r="F27" s="104"/>
    </row>
    <row r="28" spans="1:6">
      <c r="A28" s="103"/>
      <c r="B28" s="14"/>
      <c r="C28" s="14"/>
      <c r="D28" s="14"/>
      <c r="E28" s="14"/>
      <c r="F28" s="104"/>
    </row>
    <row r="29" spans="1:6">
      <c r="A29" s="103"/>
      <c r="B29" s="14"/>
      <c r="C29" s="14"/>
      <c r="D29" s="14"/>
      <c r="E29" s="14"/>
      <c r="F29" s="104"/>
    </row>
    <row r="30" spans="1:6">
      <c r="A30" s="103"/>
      <c r="B30" s="14"/>
      <c r="C30" s="14"/>
      <c r="D30" s="14"/>
      <c r="E30" s="14"/>
      <c r="F30" s="104"/>
    </row>
    <row r="31" spans="1:6">
      <c r="A31" s="103"/>
      <c r="B31" s="14"/>
      <c r="C31" s="14"/>
      <c r="D31" s="14"/>
      <c r="E31" s="14"/>
      <c r="F31" s="104"/>
    </row>
    <row r="32" spans="1:6">
      <c r="A32" s="103"/>
      <c r="B32" s="14"/>
      <c r="C32" s="14"/>
      <c r="D32" s="14"/>
      <c r="E32" s="14"/>
      <c r="F32" s="104"/>
    </row>
    <row r="33" spans="1:6">
      <c r="A33" s="103"/>
      <c r="B33" s="14"/>
      <c r="C33" s="14"/>
      <c r="D33" s="14"/>
      <c r="E33" s="14"/>
      <c r="F33" s="104"/>
    </row>
    <row r="34" spans="1:6">
      <c r="A34" s="103"/>
      <c r="B34" s="14"/>
      <c r="C34" s="14"/>
      <c r="D34" s="14"/>
      <c r="E34" s="14"/>
      <c r="F34" s="104"/>
    </row>
    <row r="35" spans="1:6">
      <c r="A35" s="103"/>
      <c r="B35" s="14"/>
      <c r="C35" s="14"/>
      <c r="D35" s="14"/>
      <c r="E35" s="14"/>
      <c r="F35" s="104"/>
    </row>
    <row r="36" spans="1:6">
      <c r="A36" s="103"/>
      <c r="B36" s="14"/>
      <c r="C36" s="14"/>
      <c r="D36" s="14"/>
      <c r="E36" s="14"/>
      <c r="F36" s="104"/>
    </row>
    <row r="37" spans="1:6">
      <c r="A37" s="103"/>
      <c r="B37" s="14"/>
      <c r="C37" s="14"/>
      <c r="D37" s="14"/>
      <c r="E37" s="14"/>
      <c r="F37" s="104"/>
    </row>
    <row r="38" spans="1:6">
      <c r="A38" s="103"/>
      <c r="B38" s="14"/>
      <c r="C38" s="14"/>
      <c r="D38" s="14"/>
      <c r="E38" s="14"/>
      <c r="F38" s="104"/>
    </row>
    <row r="39" spans="1:6">
      <c r="A39" s="103"/>
      <c r="B39" s="14"/>
      <c r="C39" s="14"/>
      <c r="D39" s="14"/>
      <c r="E39" s="14"/>
      <c r="F39" s="104"/>
    </row>
    <row r="40" spans="1:6">
      <c r="A40" s="103"/>
      <c r="B40" s="14"/>
      <c r="C40" s="14"/>
      <c r="D40" s="14"/>
      <c r="E40" s="14"/>
      <c r="F40" s="104"/>
    </row>
    <row r="41" spans="1:6">
      <c r="A41" s="103"/>
      <c r="B41" s="14"/>
      <c r="C41" s="14"/>
      <c r="D41" s="14"/>
      <c r="E41" s="14"/>
      <c r="F41" s="104"/>
    </row>
    <row r="42" spans="1:6">
      <c r="A42" s="103"/>
      <c r="B42" s="14"/>
      <c r="C42" s="14"/>
      <c r="D42" s="14"/>
      <c r="E42" s="14"/>
      <c r="F42" s="104"/>
    </row>
    <row r="43" spans="1:6">
      <c r="A43" s="103"/>
      <c r="B43" s="14"/>
      <c r="C43" s="14"/>
      <c r="D43" s="14"/>
      <c r="E43" s="14"/>
      <c r="F43" s="104"/>
    </row>
    <row r="44" spans="1:6" ht="13.5" thickBot="1">
      <c r="A44" s="113"/>
      <c r="B44" s="114"/>
      <c r="C44" s="114"/>
      <c r="D44" s="114"/>
      <c r="E44" s="114"/>
      <c r="F44" s="115"/>
    </row>
  </sheetData>
  <mergeCells count="4">
    <mergeCell ref="A2:F2"/>
    <mergeCell ref="A3:F3"/>
    <mergeCell ref="B5:C5"/>
    <mergeCell ref="A1:F1"/>
  </mergeCells>
  <phoneticPr fontId="7" type="noConversion"/>
  <printOptions horizontalCentered="1"/>
  <pageMargins left="0.34" right="0.39370078740157483" top="0.22" bottom="0.39370078740157483" header="0" footer="0"/>
  <pageSetup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71"/>
  <sheetViews>
    <sheetView view="pageBreakPreview" zoomScale="60" zoomScaleNormal="75" workbookViewId="0">
      <selection activeCell="A152" sqref="A152:N152"/>
    </sheetView>
  </sheetViews>
  <sheetFormatPr baseColWidth="10" defaultColWidth="53.28515625" defaultRowHeight="12.75"/>
  <cols>
    <col min="1" max="1" width="53.42578125" style="223" customWidth="1"/>
    <col min="2" max="3" width="15" style="163" bestFit="1" customWidth="1"/>
    <col min="4" max="4" width="15.140625" style="163" bestFit="1" customWidth="1"/>
    <col min="5" max="5" width="14.85546875" style="163" customWidth="1"/>
    <col min="6" max="6" width="14.85546875" style="163" bestFit="1" customWidth="1"/>
    <col min="7" max="7" width="14.5703125" style="163" bestFit="1" customWidth="1"/>
    <col min="8" max="8" width="14.85546875" style="163" bestFit="1" customWidth="1"/>
    <col min="9" max="9" width="14.5703125" style="163" bestFit="1" customWidth="1"/>
    <col min="10" max="10" width="15.42578125" style="163" customWidth="1"/>
    <col min="11" max="11" width="14.85546875" style="163" bestFit="1" customWidth="1"/>
    <col min="12" max="12" width="15.5703125" style="163" bestFit="1" customWidth="1"/>
    <col min="13" max="13" width="15.5703125" style="211" bestFit="1" customWidth="1"/>
    <col min="14" max="14" width="17.42578125" style="163" bestFit="1" customWidth="1"/>
    <col min="15" max="16384" width="53.28515625" style="163"/>
  </cols>
  <sheetData>
    <row r="1" spans="1:14" ht="15.75">
      <c r="A1" s="468" t="s">
        <v>366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</row>
    <row r="2" spans="1:14">
      <c r="A2" s="469" t="s">
        <v>1131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</row>
    <row r="3" spans="1:14">
      <c r="A3" s="469" t="s">
        <v>209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</row>
    <row r="4" spans="1:14" ht="13.5" thickBot="1">
      <c r="A4" s="470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2"/>
      <c r="N4" s="471"/>
    </row>
    <row r="5" spans="1:14" ht="26.25" thickBot="1">
      <c r="A5" s="431" t="s">
        <v>0</v>
      </c>
      <c r="B5" s="431" t="s">
        <v>6</v>
      </c>
      <c r="C5" s="431" t="s">
        <v>7</v>
      </c>
      <c r="D5" s="431" t="s">
        <v>8</v>
      </c>
      <c r="E5" s="431" t="s">
        <v>9</v>
      </c>
      <c r="F5" s="431" t="s">
        <v>10</v>
      </c>
      <c r="G5" s="431" t="s">
        <v>11</v>
      </c>
      <c r="H5" s="431" t="s">
        <v>12</v>
      </c>
      <c r="I5" s="431" t="s">
        <v>13</v>
      </c>
      <c r="J5" s="519" t="s">
        <v>463</v>
      </c>
      <c r="K5" s="519" t="s">
        <v>14</v>
      </c>
      <c r="L5" s="519" t="s">
        <v>78</v>
      </c>
      <c r="M5" s="519" t="s">
        <v>560</v>
      </c>
      <c r="N5" s="431" t="s">
        <v>79</v>
      </c>
    </row>
    <row r="6" spans="1:14" ht="13.5" thickBot="1">
      <c r="A6" s="473"/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2"/>
      <c r="N6" s="471"/>
    </row>
    <row r="7" spans="1:14">
      <c r="A7" s="474" t="s">
        <v>101</v>
      </c>
      <c r="B7" s="475">
        <f>SUM(B8:B10)</f>
        <v>31039294</v>
      </c>
      <c r="C7" s="475">
        <f t="shared" ref="C7:N7" si="0">SUM(C8:C10)</f>
        <v>24242361</v>
      </c>
      <c r="D7" s="475">
        <f t="shared" si="0"/>
        <v>28292910</v>
      </c>
      <c r="E7" s="475">
        <f t="shared" si="0"/>
        <v>24783003</v>
      </c>
      <c r="F7" s="475">
        <f t="shared" si="0"/>
        <v>25406596</v>
      </c>
      <c r="G7" s="475">
        <f t="shared" si="0"/>
        <v>24534076</v>
      </c>
      <c r="H7" s="475">
        <f t="shared" si="0"/>
        <v>25657603</v>
      </c>
      <c r="I7" s="475">
        <f t="shared" si="0"/>
        <v>26514993</v>
      </c>
      <c r="J7" s="475">
        <f t="shared" si="0"/>
        <v>25188640</v>
      </c>
      <c r="K7" s="475">
        <f t="shared" si="0"/>
        <v>25163073</v>
      </c>
      <c r="L7" s="475">
        <f t="shared" si="0"/>
        <v>27280433</v>
      </c>
      <c r="M7" s="475">
        <f t="shared" si="0"/>
        <v>71347455.590000004</v>
      </c>
      <c r="N7" s="476">
        <f t="shared" si="0"/>
        <v>359450437.59000003</v>
      </c>
    </row>
    <row r="8" spans="1:14">
      <c r="A8" s="477" t="s">
        <v>54</v>
      </c>
      <c r="B8" s="478">
        <v>19140811</v>
      </c>
      <c r="C8" s="478">
        <v>17609320</v>
      </c>
      <c r="D8" s="478">
        <v>21144046</v>
      </c>
      <c r="E8" s="478">
        <v>18103271</v>
      </c>
      <c r="F8" s="478">
        <v>18488298</v>
      </c>
      <c r="G8" s="478">
        <v>17957092</v>
      </c>
      <c r="H8" s="478">
        <v>18510258</v>
      </c>
      <c r="I8" s="478">
        <v>19029916</v>
      </c>
      <c r="J8" s="478">
        <v>18530901</v>
      </c>
      <c r="K8" s="478">
        <v>18493292</v>
      </c>
      <c r="L8" s="478">
        <v>19840869</v>
      </c>
      <c r="M8" s="479">
        <f>-206848074+264694266.3</f>
        <v>57846192.300000012</v>
      </c>
      <c r="N8" s="480">
        <f>SUM(B8:M8)</f>
        <v>264694266.30000001</v>
      </c>
    </row>
    <row r="9" spans="1:14">
      <c r="A9" s="477" t="s">
        <v>56</v>
      </c>
      <c r="B9" s="478">
        <v>4317915</v>
      </c>
      <c r="C9" s="478">
        <v>3785612</v>
      </c>
      <c r="D9" s="478">
        <v>3802065</v>
      </c>
      <c r="E9" s="478">
        <v>3896792</v>
      </c>
      <c r="F9" s="478">
        <v>4077195</v>
      </c>
      <c r="G9" s="478">
        <v>3785212</v>
      </c>
      <c r="H9" s="478">
        <v>4253715</v>
      </c>
      <c r="I9" s="478">
        <v>3809562</v>
      </c>
      <c r="J9" s="478">
        <v>3839615</v>
      </c>
      <c r="K9" s="478">
        <v>3834612</v>
      </c>
      <c r="L9" s="478">
        <v>3418571</v>
      </c>
      <c r="M9" s="479">
        <f>-42820866+38946607.06</f>
        <v>-3874258.9399999976</v>
      </c>
      <c r="N9" s="480">
        <f>SUM(B9:M9)</f>
        <v>38946607.060000002</v>
      </c>
    </row>
    <row r="10" spans="1:14">
      <c r="A10" s="477" t="s">
        <v>55</v>
      </c>
      <c r="B10" s="478">
        <v>7580568</v>
      </c>
      <c r="C10" s="478">
        <v>2847429</v>
      </c>
      <c r="D10" s="478">
        <v>3346798.9999999995</v>
      </c>
      <c r="E10" s="478">
        <v>2782940</v>
      </c>
      <c r="F10" s="478">
        <v>2841103</v>
      </c>
      <c r="G10" s="478">
        <v>2791772</v>
      </c>
      <c r="H10" s="478">
        <v>2893630</v>
      </c>
      <c r="I10" s="478">
        <v>3675514.9999999995</v>
      </c>
      <c r="J10" s="478">
        <v>2818124</v>
      </c>
      <c r="K10" s="478">
        <v>2835169</v>
      </c>
      <c r="L10" s="478">
        <v>4020993</v>
      </c>
      <c r="M10" s="479">
        <f>-38434042+55809564.23</f>
        <v>17375522.229999997</v>
      </c>
      <c r="N10" s="480">
        <f>SUM(B10:M10)</f>
        <v>55809564.229999997</v>
      </c>
    </row>
    <row r="11" spans="1:14">
      <c r="A11" s="481"/>
      <c r="B11" s="478"/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9"/>
      <c r="N11" s="480"/>
    </row>
    <row r="12" spans="1:14">
      <c r="A12" s="270" t="s">
        <v>49</v>
      </c>
      <c r="B12" s="482">
        <f>SUM(B13:B18)</f>
        <v>9026474.3100000005</v>
      </c>
      <c r="C12" s="482">
        <f t="shared" ref="C12:N12" si="1">SUM(C13:C18)</f>
        <v>9026514.3100000005</v>
      </c>
      <c r="D12" s="482">
        <f t="shared" si="1"/>
        <v>9026514.3100000005</v>
      </c>
      <c r="E12" s="482">
        <f t="shared" si="1"/>
        <v>9026514.3100000005</v>
      </c>
      <c r="F12" s="482">
        <f t="shared" si="1"/>
        <v>9026514.3100000005</v>
      </c>
      <c r="G12" s="482">
        <f t="shared" si="1"/>
        <v>9026514.3100000005</v>
      </c>
      <c r="H12" s="482">
        <f t="shared" si="1"/>
        <v>9026515.3100000005</v>
      </c>
      <c r="I12" s="482">
        <f t="shared" si="1"/>
        <v>9026515.3100000005</v>
      </c>
      <c r="J12" s="482">
        <f t="shared" si="1"/>
        <v>9026515.3100000005</v>
      </c>
      <c r="K12" s="482">
        <f t="shared" si="1"/>
        <v>9026515.3100000005</v>
      </c>
      <c r="L12" s="482">
        <f t="shared" si="1"/>
        <v>9228845.3100000005</v>
      </c>
      <c r="M12" s="482">
        <f t="shared" si="1"/>
        <v>10707010.700000001</v>
      </c>
      <c r="N12" s="483">
        <f t="shared" si="1"/>
        <v>110200963.11</v>
      </c>
    </row>
    <row r="13" spans="1:14">
      <c r="A13" s="477" t="s">
        <v>71</v>
      </c>
      <c r="B13" s="478">
        <v>5655900</v>
      </c>
      <c r="C13" s="478">
        <v>5655900</v>
      </c>
      <c r="D13" s="478">
        <v>5655900</v>
      </c>
      <c r="E13" s="478">
        <v>5655900</v>
      </c>
      <c r="F13" s="478">
        <v>5655900</v>
      </c>
      <c r="G13" s="478">
        <v>5655900</v>
      </c>
      <c r="H13" s="478">
        <v>5655900</v>
      </c>
      <c r="I13" s="478">
        <v>5655900</v>
      </c>
      <c r="J13" s="478">
        <v>5655900</v>
      </c>
      <c r="K13" s="478">
        <v>5655900</v>
      </c>
      <c r="L13" s="478">
        <v>5800000</v>
      </c>
      <c r="M13" s="479">
        <f>-62359000+69379083.08</f>
        <v>7020083.0799999982</v>
      </c>
      <c r="N13" s="480">
        <f t="shared" ref="N13:N18" si="2">SUM(B13:M13)</f>
        <v>69379083.079999998</v>
      </c>
    </row>
    <row r="14" spans="1:14">
      <c r="A14" s="477" t="s">
        <v>152</v>
      </c>
      <c r="B14" s="478">
        <v>2926755.31</v>
      </c>
      <c r="C14" s="478">
        <v>2926755.31</v>
      </c>
      <c r="D14" s="478">
        <v>2926755.31</v>
      </c>
      <c r="E14" s="478">
        <v>2926755.31</v>
      </c>
      <c r="F14" s="478">
        <v>2926755.31</v>
      </c>
      <c r="G14" s="478">
        <v>2926755.31</v>
      </c>
      <c r="H14" s="478">
        <v>2926756.31</v>
      </c>
      <c r="I14" s="478">
        <v>2926756.31</v>
      </c>
      <c r="J14" s="478">
        <v>2926756.31</v>
      </c>
      <c r="K14" s="478">
        <v>2926756.31</v>
      </c>
      <c r="L14" s="478">
        <v>2935056.31</v>
      </c>
      <c r="M14" s="479">
        <f>-32202613.41+34957513.52</f>
        <v>2754900.1100000031</v>
      </c>
      <c r="N14" s="480">
        <f t="shared" si="2"/>
        <v>34957513.519999996</v>
      </c>
    </row>
    <row r="15" spans="1:14">
      <c r="A15" s="477" t="s">
        <v>57</v>
      </c>
      <c r="B15" s="478">
        <v>33300</v>
      </c>
      <c r="C15" s="478">
        <v>33300</v>
      </c>
      <c r="D15" s="478">
        <v>33300</v>
      </c>
      <c r="E15" s="478">
        <v>33300</v>
      </c>
      <c r="F15" s="478">
        <v>33300</v>
      </c>
      <c r="G15" s="478">
        <v>33300</v>
      </c>
      <c r="H15" s="478">
        <v>33300</v>
      </c>
      <c r="I15" s="478">
        <v>33300</v>
      </c>
      <c r="J15" s="478">
        <v>33300</v>
      </c>
      <c r="K15" s="478">
        <v>33300</v>
      </c>
      <c r="L15" s="478">
        <v>33300</v>
      </c>
      <c r="M15" s="479">
        <f>-366300+428520</f>
        <v>62220</v>
      </c>
      <c r="N15" s="480">
        <f t="shared" si="2"/>
        <v>428520</v>
      </c>
    </row>
    <row r="16" spans="1:14">
      <c r="A16" s="477" t="s">
        <v>58</v>
      </c>
      <c r="B16" s="478">
        <v>0</v>
      </c>
      <c r="C16" s="478">
        <v>0</v>
      </c>
      <c r="D16" s="478">
        <v>0</v>
      </c>
      <c r="E16" s="478">
        <v>0</v>
      </c>
      <c r="F16" s="478">
        <v>0</v>
      </c>
      <c r="G16" s="478">
        <v>0</v>
      </c>
      <c r="H16" s="478">
        <v>0</v>
      </c>
      <c r="I16" s="478">
        <v>0</v>
      </c>
      <c r="J16" s="478">
        <v>0</v>
      </c>
      <c r="K16" s="478">
        <v>0</v>
      </c>
      <c r="L16" s="478">
        <v>0</v>
      </c>
      <c r="M16" s="478">
        <v>0</v>
      </c>
      <c r="N16" s="480">
        <f t="shared" si="2"/>
        <v>0</v>
      </c>
    </row>
    <row r="17" spans="1:14">
      <c r="A17" s="477" t="s">
        <v>153</v>
      </c>
      <c r="B17" s="478">
        <v>0</v>
      </c>
      <c r="C17" s="478">
        <v>0</v>
      </c>
      <c r="D17" s="478">
        <v>0</v>
      </c>
      <c r="E17" s="478">
        <v>0</v>
      </c>
      <c r="F17" s="478">
        <v>0</v>
      </c>
      <c r="G17" s="478">
        <v>0</v>
      </c>
      <c r="H17" s="478">
        <v>0</v>
      </c>
      <c r="I17" s="478">
        <v>0</v>
      </c>
      <c r="J17" s="478">
        <v>0</v>
      </c>
      <c r="K17" s="478">
        <v>0</v>
      </c>
      <c r="L17" s="478">
        <v>0</v>
      </c>
      <c r="M17" s="478">
        <v>0</v>
      </c>
      <c r="N17" s="480">
        <f t="shared" si="2"/>
        <v>0</v>
      </c>
    </row>
    <row r="18" spans="1:14">
      <c r="A18" s="477" t="s">
        <v>3</v>
      </c>
      <c r="B18" s="478">
        <v>410519</v>
      </c>
      <c r="C18" s="478">
        <v>410559</v>
      </c>
      <c r="D18" s="478">
        <v>410559</v>
      </c>
      <c r="E18" s="478">
        <v>410559</v>
      </c>
      <c r="F18" s="478">
        <v>410559</v>
      </c>
      <c r="G18" s="478">
        <v>410559</v>
      </c>
      <c r="H18" s="478">
        <v>410559</v>
      </c>
      <c r="I18" s="478">
        <v>410559</v>
      </c>
      <c r="J18" s="478">
        <v>410559</v>
      </c>
      <c r="K18" s="478">
        <v>410559</v>
      </c>
      <c r="L18" s="478">
        <v>460489</v>
      </c>
      <c r="M18" s="479">
        <f>-4566039+5435846.51</f>
        <v>869807.50999999978</v>
      </c>
      <c r="N18" s="480">
        <f t="shared" si="2"/>
        <v>5435846.5099999998</v>
      </c>
    </row>
    <row r="19" spans="1:14">
      <c r="A19" s="481"/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9"/>
      <c r="N19" s="484"/>
    </row>
    <row r="20" spans="1:14">
      <c r="A20" s="485" t="s">
        <v>50</v>
      </c>
      <c r="B20" s="482">
        <f>SUM(B21:B27)</f>
        <v>3926601</v>
      </c>
      <c r="C20" s="482">
        <f t="shared" ref="C20:M20" si="3">SUM(C21:C27)</f>
        <v>2756256</v>
      </c>
      <c r="D20" s="482">
        <f t="shared" si="3"/>
        <v>2818835.4</v>
      </c>
      <c r="E20" s="482">
        <f t="shared" si="3"/>
        <v>1793289</v>
      </c>
      <c r="F20" s="482">
        <f t="shared" si="3"/>
        <v>2515566</v>
      </c>
      <c r="G20" s="482">
        <f t="shared" si="3"/>
        <v>2503812</v>
      </c>
      <c r="H20" s="482">
        <f t="shared" si="3"/>
        <v>3756141</v>
      </c>
      <c r="I20" s="482">
        <f t="shared" si="3"/>
        <v>6688785.4000000004</v>
      </c>
      <c r="J20" s="482">
        <f t="shared" si="3"/>
        <v>2517841</v>
      </c>
      <c r="K20" s="482">
        <f t="shared" si="3"/>
        <v>1524404</v>
      </c>
      <c r="L20" s="482">
        <f t="shared" si="3"/>
        <v>2851067</v>
      </c>
      <c r="M20" s="482">
        <f t="shared" si="3"/>
        <v>15455835.59</v>
      </c>
      <c r="N20" s="483">
        <f t="shared" ref="N20:N27" si="4">SUM(B20:M20)</f>
        <v>49108433.390000001</v>
      </c>
    </row>
    <row r="21" spans="1:14">
      <c r="A21" s="477" t="s">
        <v>154</v>
      </c>
      <c r="B21" s="478">
        <v>2516227</v>
      </c>
      <c r="C21" s="478">
        <v>127227</v>
      </c>
      <c r="D21" s="478">
        <v>641227</v>
      </c>
      <c r="E21" s="478">
        <v>127227</v>
      </c>
      <c r="F21" s="478">
        <v>641227</v>
      </c>
      <c r="G21" s="478">
        <v>1104500</v>
      </c>
      <c r="H21" s="478">
        <v>641227</v>
      </c>
      <c r="I21" s="478">
        <v>2607227</v>
      </c>
      <c r="J21" s="478">
        <v>641227</v>
      </c>
      <c r="K21" s="478">
        <v>127227</v>
      </c>
      <c r="L21" s="478">
        <v>637227</v>
      </c>
      <c r="M21" s="479">
        <f>-9811770+7342986.43+3302635</f>
        <v>833851.4299999997</v>
      </c>
      <c r="N21" s="480">
        <f t="shared" si="4"/>
        <v>10645621.43</v>
      </c>
    </row>
    <row r="22" spans="1:14">
      <c r="A22" s="477" t="s">
        <v>59</v>
      </c>
      <c r="B22" s="478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9"/>
      <c r="N22" s="480">
        <f t="shared" si="4"/>
        <v>0</v>
      </c>
    </row>
    <row r="23" spans="1:14">
      <c r="A23" s="477" t="s">
        <v>60</v>
      </c>
      <c r="B23" s="478">
        <v>268750</v>
      </c>
      <c r="C23" s="478">
        <v>968750</v>
      </c>
      <c r="D23" s="478">
        <v>568750</v>
      </c>
      <c r="E23" s="478">
        <v>528750</v>
      </c>
      <c r="F23" s="478">
        <v>268750</v>
      </c>
      <c r="G23" s="478">
        <v>268750</v>
      </c>
      <c r="H23" s="478">
        <v>268750</v>
      </c>
      <c r="I23" s="478">
        <v>268750</v>
      </c>
      <c r="J23" s="478">
        <v>268750</v>
      </c>
      <c r="K23" s="478">
        <v>268750</v>
      </c>
      <c r="L23" s="478">
        <v>633750</v>
      </c>
      <c r="M23" s="479">
        <f>-4581250+11115119.85</f>
        <v>6533869.8499999996</v>
      </c>
      <c r="N23" s="480">
        <f t="shared" si="4"/>
        <v>11115119.85</v>
      </c>
    </row>
    <row r="24" spans="1:14">
      <c r="A24" s="477" t="s">
        <v>61</v>
      </c>
      <c r="B24" s="478">
        <v>167000</v>
      </c>
      <c r="C24" s="478">
        <v>167000</v>
      </c>
      <c r="D24" s="478">
        <v>167000</v>
      </c>
      <c r="E24" s="478">
        <v>167000</v>
      </c>
      <c r="F24" s="478">
        <v>167000</v>
      </c>
      <c r="G24" s="478">
        <v>167000</v>
      </c>
      <c r="H24" s="478">
        <v>167000</v>
      </c>
      <c r="I24" s="478">
        <v>167000</v>
      </c>
      <c r="J24" s="478">
        <v>167000</v>
      </c>
      <c r="K24" s="478">
        <v>167000</v>
      </c>
      <c r="L24" s="478">
        <v>167000</v>
      </c>
      <c r="M24" s="479">
        <f>-1837000+2651771.17</f>
        <v>814771.16999999993</v>
      </c>
      <c r="N24" s="480">
        <f t="shared" si="4"/>
        <v>2651771.17</v>
      </c>
    </row>
    <row r="25" spans="1:14">
      <c r="A25" s="477" t="s">
        <v>62</v>
      </c>
      <c r="B25" s="478">
        <v>500282</v>
      </c>
      <c r="C25" s="478">
        <v>1076678</v>
      </c>
      <c r="D25" s="478">
        <v>496064</v>
      </c>
      <c r="E25" s="478">
        <v>538812</v>
      </c>
      <c r="F25" s="478">
        <v>1000089</v>
      </c>
      <c r="G25" s="478">
        <v>532762</v>
      </c>
      <c r="H25" s="478">
        <v>2240064</v>
      </c>
      <c r="I25" s="478">
        <v>3199337</v>
      </c>
      <c r="J25" s="478">
        <v>558964</v>
      </c>
      <c r="K25" s="478">
        <v>522927</v>
      </c>
      <c r="L25" s="478">
        <v>902329</v>
      </c>
      <c r="M25" s="479">
        <f>-11568308+17869471.85</f>
        <v>6301163.8500000015</v>
      </c>
      <c r="N25" s="480">
        <f t="shared" si="4"/>
        <v>17869471.850000001</v>
      </c>
    </row>
    <row r="26" spans="1:14">
      <c r="A26" s="477" t="s">
        <v>3</v>
      </c>
      <c r="B26" s="478">
        <v>146600</v>
      </c>
      <c r="C26" s="478">
        <v>146000</v>
      </c>
      <c r="D26" s="478">
        <v>596000</v>
      </c>
      <c r="E26" s="478">
        <v>146000</v>
      </c>
      <c r="F26" s="478">
        <v>146600</v>
      </c>
      <c r="G26" s="478">
        <v>146000</v>
      </c>
      <c r="H26" s="478">
        <v>146000</v>
      </c>
      <c r="I26" s="478">
        <v>146000</v>
      </c>
      <c r="J26" s="478">
        <v>596000</v>
      </c>
      <c r="K26" s="478">
        <v>146600</v>
      </c>
      <c r="L26" s="478">
        <v>166000</v>
      </c>
      <c r="M26" s="479">
        <f>-2527800+2286623.19</f>
        <v>-241176.81000000006</v>
      </c>
      <c r="N26" s="480">
        <f t="shared" si="4"/>
        <v>2286623.19</v>
      </c>
    </row>
    <row r="27" spans="1:14">
      <c r="A27" s="485" t="s">
        <v>466</v>
      </c>
      <c r="B27" s="478">
        <v>327742</v>
      </c>
      <c r="C27" s="478">
        <v>270601</v>
      </c>
      <c r="D27" s="478">
        <v>349794.4</v>
      </c>
      <c r="E27" s="478">
        <v>285500</v>
      </c>
      <c r="F27" s="478">
        <v>291900</v>
      </c>
      <c r="G27" s="478">
        <v>284800</v>
      </c>
      <c r="H27" s="478">
        <v>293100</v>
      </c>
      <c r="I27" s="478">
        <v>300471.40000000002</v>
      </c>
      <c r="J27" s="478">
        <v>285900</v>
      </c>
      <c r="K27" s="478">
        <v>291900</v>
      </c>
      <c r="L27" s="478">
        <v>344761</v>
      </c>
      <c r="M27" s="479">
        <f>-3326469.8+4539825.9</f>
        <v>1213356.1000000006</v>
      </c>
      <c r="N27" s="480">
        <f t="shared" si="4"/>
        <v>4539825.9000000004</v>
      </c>
    </row>
    <row r="28" spans="1:14">
      <c r="A28" s="481"/>
      <c r="B28" s="478"/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479"/>
      <c r="N28" s="484"/>
    </row>
    <row r="29" spans="1:14">
      <c r="A29" s="485" t="s">
        <v>336</v>
      </c>
      <c r="B29" s="482">
        <f t="shared" ref="B29:N29" si="5">SUM(B30:B36)</f>
        <v>8559231.5</v>
      </c>
      <c r="C29" s="482">
        <f t="shared" si="5"/>
        <v>5439974</v>
      </c>
      <c r="D29" s="482">
        <f t="shared" si="5"/>
        <v>5397424</v>
      </c>
      <c r="E29" s="482">
        <f t="shared" si="5"/>
        <v>5483307</v>
      </c>
      <c r="F29" s="482">
        <f t="shared" si="5"/>
        <v>5380724</v>
      </c>
      <c r="G29" s="482">
        <f t="shared" si="5"/>
        <v>5405464</v>
      </c>
      <c r="H29" s="482">
        <f t="shared" si="5"/>
        <v>5530131.5</v>
      </c>
      <c r="I29" s="482">
        <f t="shared" si="5"/>
        <v>5391124</v>
      </c>
      <c r="J29" s="482">
        <f t="shared" si="5"/>
        <v>5450686</v>
      </c>
      <c r="K29" s="482">
        <f t="shared" si="5"/>
        <v>5410743</v>
      </c>
      <c r="L29" s="482">
        <f t="shared" si="5"/>
        <v>5612890</v>
      </c>
      <c r="M29" s="482">
        <f t="shared" si="5"/>
        <v>11421237.960000001</v>
      </c>
      <c r="N29" s="483">
        <f t="shared" si="5"/>
        <v>74482936.960000008</v>
      </c>
    </row>
    <row r="30" spans="1:14">
      <c r="A30" s="477" t="s">
        <v>300</v>
      </c>
      <c r="B30" s="478">
        <v>3750000</v>
      </c>
      <c r="C30" s="478">
        <v>3750000</v>
      </c>
      <c r="D30" s="478">
        <v>3750000</v>
      </c>
      <c r="E30" s="478">
        <v>3750000</v>
      </c>
      <c r="F30" s="478">
        <v>3750000</v>
      </c>
      <c r="G30" s="478">
        <v>3750000</v>
      </c>
      <c r="H30" s="478">
        <v>3750000</v>
      </c>
      <c r="I30" s="478">
        <v>3750000</v>
      </c>
      <c r="J30" s="478">
        <v>3750000</v>
      </c>
      <c r="K30" s="478">
        <v>3750000</v>
      </c>
      <c r="L30" s="478">
        <v>3750000</v>
      </c>
      <c r="M30" s="479">
        <f>-41250000+49733412.18</f>
        <v>8483412.1799999997</v>
      </c>
      <c r="N30" s="480">
        <f t="shared" ref="N30:N36" si="6">SUM(B30:M30)</f>
        <v>49733412.18</v>
      </c>
    </row>
    <row r="31" spans="1:14">
      <c r="A31" s="477" t="s">
        <v>63</v>
      </c>
      <c r="B31" s="478">
        <v>1250000</v>
      </c>
      <c r="C31" s="478">
        <v>1250000</v>
      </c>
      <c r="D31" s="478">
        <v>1250000</v>
      </c>
      <c r="E31" s="478">
        <v>1250000</v>
      </c>
      <c r="F31" s="478">
        <v>1250000</v>
      </c>
      <c r="G31" s="478">
        <v>1250000</v>
      </c>
      <c r="H31" s="478">
        <v>1250000</v>
      </c>
      <c r="I31" s="478">
        <v>1250000</v>
      </c>
      <c r="J31" s="478">
        <v>1250000</v>
      </c>
      <c r="K31" s="478">
        <v>1250000</v>
      </c>
      <c r="L31" s="478">
        <v>1250000</v>
      </c>
      <c r="M31" s="479">
        <f>-13750000+16099013.97</f>
        <v>2349013.9700000007</v>
      </c>
      <c r="N31" s="480">
        <f t="shared" si="6"/>
        <v>16099013.970000001</v>
      </c>
    </row>
    <row r="32" spans="1:14">
      <c r="A32" s="477" t="s">
        <v>155</v>
      </c>
      <c r="B32" s="478">
        <v>14730</v>
      </c>
      <c r="C32" s="478">
        <v>10000</v>
      </c>
      <c r="D32" s="478">
        <v>11000</v>
      </c>
      <c r="E32" s="478">
        <v>16200</v>
      </c>
      <c r="F32" s="478">
        <v>6900</v>
      </c>
      <c r="G32" s="478">
        <v>8530</v>
      </c>
      <c r="H32" s="478">
        <v>6200</v>
      </c>
      <c r="I32" s="478">
        <v>16800</v>
      </c>
      <c r="J32" s="478">
        <v>6900</v>
      </c>
      <c r="K32" s="478">
        <v>17700</v>
      </c>
      <c r="L32" s="478">
        <v>2700</v>
      </c>
      <c r="M32" s="479">
        <f>-117660+420491.9</f>
        <v>302831.90000000002</v>
      </c>
      <c r="N32" s="480">
        <f t="shared" si="6"/>
        <v>420491.9</v>
      </c>
    </row>
    <row r="33" spans="1:14">
      <c r="A33" s="477" t="s">
        <v>65</v>
      </c>
      <c r="B33" s="478">
        <v>291500</v>
      </c>
      <c r="C33" s="478">
        <v>291500</v>
      </c>
      <c r="D33" s="478">
        <v>291500</v>
      </c>
      <c r="E33" s="478">
        <v>291500</v>
      </c>
      <c r="F33" s="478">
        <v>291500</v>
      </c>
      <c r="G33" s="478">
        <v>291500</v>
      </c>
      <c r="H33" s="478">
        <v>291500</v>
      </c>
      <c r="I33" s="478">
        <v>291500</v>
      </c>
      <c r="J33" s="478">
        <v>291500</v>
      </c>
      <c r="K33" s="478">
        <v>291500</v>
      </c>
      <c r="L33" s="478">
        <v>291500</v>
      </c>
      <c r="M33" s="479">
        <f>-3206500+4250288.54</f>
        <v>1043788.54</v>
      </c>
      <c r="N33" s="480">
        <f t="shared" si="6"/>
        <v>4250288.54</v>
      </c>
    </row>
    <row r="34" spans="1:14">
      <c r="A34" s="477" t="s">
        <v>64</v>
      </c>
      <c r="B34" s="478">
        <v>141741.5</v>
      </c>
      <c r="C34" s="478">
        <v>103774</v>
      </c>
      <c r="D34" s="478">
        <v>62174</v>
      </c>
      <c r="E34" s="478">
        <v>67994</v>
      </c>
      <c r="F34" s="478">
        <v>49574</v>
      </c>
      <c r="G34" s="478">
        <v>72684</v>
      </c>
      <c r="H34" s="478">
        <v>192931.5</v>
      </c>
      <c r="I34" s="478">
        <v>49574</v>
      </c>
      <c r="J34" s="478">
        <v>48674</v>
      </c>
      <c r="K34" s="478">
        <v>64794</v>
      </c>
      <c r="L34" s="478">
        <v>5941</v>
      </c>
      <c r="M34" s="479">
        <f>-859856+35712.58</f>
        <v>-824143.42</v>
      </c>
      <c r="N34" s="480">
        <f t="shared" si="6"/>
        <v>35712.579999999958</v>
      </c>
    </row>
    <row r="35" spans="1:14">
      <c r="A35" s="477" t="s">
        <v>167</v>
      </c>
      <c r="B35" s="478">
        <v>0</v>
      </c>
      <c r="C35" s="478">
        <v>0</v>
      </c>
      <c r="D35" s="478">
        <v>0</v>
      </c>
      <c r="E35" s="478">
        <v>0</v>
      </c>
      <c r="F35" s="478">
        <v>0</v>
      </c>
      <c r="G35" s="478">
        <v>0</v>
      </c>
      <c r="H35" s="478">
        <v>0</v>
      </c>
      <c r="I35" s="478">
        <v>0</v>
      </c>
      <c r="J35" s="478">
        <v>0</v>
      </c>
      <c r="K35" s="478">
        <v>0</v>
      </c>
      <c r="L35" s="478">
        <v>0</v>
      </c>
      <c r="M35" s="479">
        <v>0</v>
      </c>
      <c r="N35" s="480">
        <f t="shared" si="6"/>
        <v>0</v>
      </c>
    </row>
    <row r="36" spans="1:14">
      <c r="A36" s="477" t="s">
        <v>3</v>
      </c>
      <c r="B36" s="478">
        <v>3111260</v>
      </c>
      <c r="C36" s="478">
        <v>34700</v>
      </c>
      <c r="D36" s="478">
        <v>32750</v>
      </c>
      <c r="E36" s="478">
        <v>107613</v>
      </c>
      <c r="F36" s="478">
        <v>32750</v>
      </c>
      <c r="G36" s="478">
        <v>32750</v>
      </c>
      <c r="H36" s="478">
        <v>39500</v>
      </c>
      <c r="I36" s="478">
        <v>33250</v>
      </c>
      <c r="J36" s="478">
        <v>103612</v>
      </c>
      <c r="K36" s="478">
        <v>36749</v>
      </c>
      <c r="L36" s="478">
        <v>312749</v>
      </c>
      <c r="M36" s="479">
        <f>-3877683+3944017.79</f>
        <v>66334.790000000037</v>
      </c>
      <c r="N36" s="480">
        <f t="shared" si="6"/>
        <v>3944017.79</v>
      </c>
    </row>
    <row r="37" spans="1:14">
      <c r="A37" s="481"/>
      <c r="B37" s="478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9"/>
      <c r="N37" s="484"/>
    </row>
    <row r="38" spans="1:14">
      <c r="A38" s="485" t="s">
        <v>51</v>
      </c>
      <c r="B38" s="482">
        <f>SUM(B39:B40)</f>
        <v>1787000</v>
      </c>
      <c r="C38" s="482">
        <f t="shared" ref="C38:N38" si="7">SUM(C39:C40)</f>
        <v>283000</v>
      </c>
      <c r="D38" s="482">
        <f t="shared" si="7"/>
        <v>283000</v>
      </c>
      <c r="E38" s="482">
        <f t="shared" si="7"/>
        <v>1183000</v>
      </c>
      <c r="F38" s="482">
        <f t="shared" si="7"/>
        <v>183000</v>
      </c>
      <c r="G38" s="482">
        <f t="shared" si="7"/>
        <v>83000</v>
      </c>
      <c r="H38" s="482">
        <f t="shared" si="7"/>
        <v>83000</v>
      </c>
      <c r="I38" s="482">
        <f t="shared" si="7"/>
        <v>83000</v>
      </c>
      <c r="J38" s="482">
        <f t="shared" si="7"/>
        <v>83000</v>
      </c>
      <c r="K38" s="482">
        <f t="shared" si="7"/>
        <v>83000</v>
      </c>
      <c r="L38" s="482">
        <f t="shared" si="7"/>
        <v>83000</v>
      </c>
      <c r="M38" s="482">
        <f t="shared" si="7"/>
        <v>3483410.17</v>
      </c>
      <c r="N38" s="483">
        <f t="shared" si="7"/>
        <v>7700410.1699999999</v>
      </c>
    </row>
    <row r="39" spans="1:14">
      <c r="A39" s="477" t="s">
        <v>66</v>
      </c>
      <c r="B39" s="478">
        <v>1787000</v>
      </c>
      <c r="C39" s="478">
        <v>283000</v>
      </c>
      <c r="D39" s="478">
        <v>283000</v>
      </c>
      <c r="E39" s="478">
        <v>1183000</v>
      </c>
      <c r="F39" s="478">
        <v>183000</v>
      </c>
      <c r="G39" s="478">
        <v>83000</v>
      </c>
      <c r="H39" s="478">
        <v>83000</v>
      </c>
      <c r="I39" s="478">
        <v>83000</v>
      </c>
      <c r="J39" s="478">
        <v>83000</v>
      </c>
      <c r="K39" s="478">
        <v>83000</v>
      </c>
      <c r="L39" s="478">
        <v>83000</v>
      </c>
      <c r="M39" s="479">
        <f>-4217000+6550410.17</f>
        <v>2333410.17</v>
      </c>
      <c r="N39" s="480">
        <f>SUM(B39:M39)</f>
        <v>6550410.1699999999</v>
      </c>
    </row>
    <row r="40" spans="1:14">
      <c r="A40" s="477" t="s">
        <v>67</v>
      </c>
      <c r="B40" s="478"/>
      <c r="C40" s="478"/>
      <c r="D40" s="478"/>
      <c r="E40" s="478"/>
      <c r="F40" s="478"/>
      <c r="G40" s="478"/>
      <c r="H40" s="478"/>
      <c r="I40" s="478"/>
      <c r="J40" s="478"/>
      <c r="K40" s="478"/>
      <c r="L40" s="478"/>
      <c r="M40" s="479">
        <v>1150000</v>
      </c>
      <c r="N40" s="480">
        <f>SUM(B40:M40)</f>
        <v>1150000</v>
      </c>
    </row>
    <row r="41" spans="1:14">
      <c r="A41" s="481"/>
      <c r="B41" s="478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9"/>
      <c r="N41" s="484"/>
    </row>
    <row r="42" spans="1:14">
      <c r="A42" s="485" t="s">
        <v>122</v>
      </c>
      <c r="B42" s="482">
        <f>SUM(B43:B46)</f>
        <v>34014377.269999996</v>
      </c>
      <c r="C42" s="482">
        <f t="shared" ref="C42:N42" si="8">SUM(C43:C46)</f>
        <v>37611357.539999999</v>
      </c>
      <c r="D42" s="482">
        <f t="shared" si="8"/>
        <v>32880231.359999999</v>
      </c>
      <c r="E42" s="482">
        <f t="shared" si="8"/>
        <v>20904824</v>
      </c>
      <c r="F42" s="482">
        <f t="shared" si="8"/>
        <v>20904824</v>
      </c>
      <c r="G42" s="482">
        <f t="shared" si="8"/>
        <v>20854824</v>
      </c>
      <c r="H42" s="482">
        <f t="shared" si="8"/>
        <v>20904824</v>
      </c>
      <c r="I42" s="482">
        <f t="shared" si="8"/>
        <v>20854824</v>
      </c>
      <c r="J42" s="482">
        <f t="shared" si="8"/>
        <v>20904824</v>
      </c>
      <c r="K42" s="482">
        <f t="shared" si="8"/>
        <v>20894824</v>
      </c>
      <c r="L42" s="482">
        <f t="shared" si="8"/>
        <v>30186049.880000003</v>
      </c>
      <c r="M42" s="482">
        <f t="shared" si="8"/>
        <v>-14974833.890000001</v>
      </c>
      <c r="N42" s="483">
        <f t="shared" si="8"/>
        <v>265940950.16000003</v>
      </c>
    </row>
    <row r="43" spans="1:14">
      <c r="A43" s="477" t="s">
        <v>68</v>
      </c>
      <c r="B43" s="478">
        <v>4218424</v>
      </c>
      <c r="C43" s="478">
        <v>8258824</v>
      </c>
      <c r="D43" s="478">
        <v>4697324</v>
      </c>
      <c r="E43" s="478">
        <v>4247324</v>
      </c>
      <c r="F43" s="478">
        <v>4247324</v>
      </c>
      <c r="G43" s="478">
        <v>4197324</v>
      </c>
      <c r="H43" s="478">
        <v>4247324</v>
      </c>
      <c r="I43" s="478">
        <v>4197324</v>
      </c>
      <c r="J43" s="478">
        <v>4247324</v>
      </c>
      <c r="K43" s="478">
        <v>4237324</v>
      </c>
      <c r="L43" s="478">
        <v>5300739.24</v>
      </c>
      <c r="M43" s="479">
        <v>14989290.02</v>
      </c>
      <c r="N43" s="480">
        <f>SUM(B43:M43)</f>
        <v>67085869.260000005</v>
      </c>
    </row>
    <row r="44" spans="1:14">
      <c r="A44" s="477" t="s">
        <v>487</v>
      </c>
      <c r="B44" s="478">
        <v>29795953.269999996</v>
      </c>
      <c r="C44" s="478">
        <v>29352533.539999999</v>
      </c>
      <c r="D44" s="478">
        <v>28182907.359999999</v>
      </c>
      <c r="E44" s="478">
        <v>16657500</v>
      </c>
      <c r="F44" s="478">
        <v>16657500</v>
      </c>
      <c r="G44" s="478">
        <v>16657500</v>
      </c>
      <c r="H44" s="478">
        <v>16657500</v>
      </c>
      <c r="I44" s="478">
        <v>16657500</v>
      </c>
      <c r="J44" s="478">
        <v>16657500</v>
      </c>
      <c r="K44" s="478">
        <v>16657500</v>
      </c>
      <c r="L44" s="478">
        <v>24885310.640000001</v>
      </c>
      <c r="M44" s="479">
        <v>-29964123.91</v>
      </c>
      <c r="N44" s="480">
        <f>SUM(B44:M44)</f>
        <v>198855080.90000001</v>
      </c>
    </row>
    <row r="45" spans="1:14">
      <c r="A45" s="477" t="s">
        <v>191</v>
      </c>
      <c r="B45" s="478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479"/>
      <c r="N45" s="480">
        <f>SUM(B45:M45)</f>
        <v>0</v>
      </c>
    </row>
    <row r="46" spans="1:14" ht="13.5" thickBot="1">
      <c r="A46" s="486" t="s">
        <v>69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8"/>
      <c r="N46" s="489">
        <f>SUM(B46:M46)</f>
        <v>0</v>
      </c>
    </row>
    <row r="47" spans="1:14" ht="13.5" thickBot="1">
      <c r="A47" s="505"/>
      <c r="B47" s="492"/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506"/>
      <c r="N47" s="492"/>
    </row>
    <row r="48" spans="1:14">
      <c r="A48" s="507"/>
      <c r="B48" s="508"/>
      <c r="C48" s="509"/>
      <c r="D48" s="508"/>
      <c r="E48" s="509"/>
      <c r="F48" s="508"/>
      <c r="G48" s="509"/>
      <c r="H48" s="508"/>
      <c r="I48" s="509"/>
      <c r="J48" s="508"/>
      <c r="K48" s="509"/>
      <c r="L48" s="508"/>
      <c r="M48" s="510"/>
      <c r="N48" s="511"/>
    </row>
    <row r="49" spans="1:14" ht="24" customHeight="1">
      <c r="A49" s="512" t="s">
        <v>156</v>
      </c>
      <c r="B49" s="482">
        <f>SUM(B50:B62)</f>
        <v>3388949.63</v>
      </c>
      <c r="C49" s="482">
        <f t="shared" ref="C49:N49" si="9">SUM(C50:C62)</f>
        <v>1013755.8</v>
      </c>
      <c r="D49" s="482">
        <f t="shared" si="9"/>
        <v>1013755.8</v>
      </c>
      <c r="E49" s="482">
        <f t="shared" si="9"/>
        <v>1013755.8</v>
      </c>
      <c r="F49" s="482">
        <f t="shared" si="9"/>
        <v>1013755.8</v>
      </c>
      <c r="G49" s="482">
        <f t="shared" si="9"/>
        <v>1013755.8</v>
      </c>
      <c r="H49" s="482">
        <f t="shared" si="9"/>
        <v>1013755.8</v>
      </c>
      <c r="I49" s="482">
        <f t="shared" si="9"/>
        <v>1013755.8</v>
      </c>
      <c r="J49" s="482">
        <f t="shared" si="9"/>
        <v>1013755.8</v>
      </c>
      <c r="K49" s="482">
        <f t="shared" si="9"/>
        <v>1013755.8</v>
      </c>
      <c r="L49" s="482">
        <f t="shared" si="9"/>
        <v>6651349.2100000009</v>
      </c>
      <c r="M49" s="482">
        <f t="shared" si="9"/>
        <v>4488750.6700000009</v>
      </c>
      <c r="N49" s="483">
        <f t="shared" si="9"/>
        <v>23652851.710000001</v>
      </c>
    </row>
    <row r="50" spans="1:14">
      <c r="A50" s="513" t="s">
        <v>301</v>
      </c>
      <c r="B50" s="478"/>
      <c r="C50" s="492"/>
      <c r="D50" s="478"/>
      <c r="E50" s="492"/>
      <c r="F50" s="478"/>
      <c r="G50" s="492"/>
      <c r="H50" s="478"/>
      <c r="I50" s="492"/>
      <c r="J50" s="478"/>
      <c r="K50" s="492"/>
      <c r="L50" s="478"/>
      <c r="M50" s="493"/>
      <c r="N50" s="480">
        <f t="shared" ref="N50:N62" si="10">SUM(B50:M50)</f>
        <v>0</v>
      </c>
    </row>
    <row r="51" spans="1:14">
      <c r="A51" s="513" t="s">
        <v>60</v>
      </c>
      <c r="B51" s="478"/>
      <c r="C51" s="492"/>
      <c r="D51" s="478"/>
      <c r="E51" s="492"/>
      <c r="F51" s="478"/>
      <c r="G51" s="492"/>
      <c r="H51" s="478"/>
      <c r="I51" s="492"/>
      <c r="J51" s="478"/>
      <c r="K51" s="492"/>
      <c r="L51" s="478"/>
      <c r="M51" s="493"/>
      <c r="N51" s="480">
        <f t="shared" si="10"/>
        <v>0</v>
      </c>
    </row>
    <row r="52" spans="1:14">
      <c r="A52" s="513" t="s">
        <v>551</v>
      </c>
      <c r="B52" s="478"/>
      <c r="C52" s="492"/>
      <c r="D52" s="478"/>
      <c r="E52" s="492"/>
      <c r="F52" s="478"/>
      <c r="G52" s="492"/>
      <c r="H52" s="478"/>
      <c r="I52" s="492"/>
      <c r="J52" s="478"/>
      <c r="K52" s="492"/>
      <c r="L52" s="478"/>
      <c r="M52" s="493">
        <v>11.6</v>
      </c>
      <c r="N52" s="480">
        <f t="shared" si="10"/>
        <v>11.6</v>
      </c>
    </row>
    <row r="53" spans="1:14">
      <c r="A53" s="513" t="s">
        <v>489</v>
      </c>
      <c r="B53" s="478"/>
      <c r="C53" s="492"/>
      <c r="D53" s="478"/>
      <c r="E53" s="492"/>
      <c r="F53" s="478"/>
      <c r="G53" s="492"/>
      <c r="H53" s="478"/>
      <c r="I53" s="492"/>
      <c r="J53" s="478"/>
      <c r="K53" s="492"/>
      <c r="L53" s="478"/>
      <c r="M53" s="493">
        <v>0</v>
      </c>
      <c r="N53" s="480">
        <f t="shared" si="10"/>
        <v>0</v>
      </c>
    </row>
    <row r="54" spans="1:14">
      <c r="A54" s="513" t="s">
        <v>490</v>
      </c>
      <c r="B54" s="478"/>
      <c r="C54" s="492"/>
      <c r="D54" s="478"/>
      <c r="E54" s="492"/>
      <c r="F54" s="478"/>
      <c r="G54" s="492"/>
      <c r="H54" s="478"/>
      <c r="I54" s="492"/>
      <c r="J54" s="478"/>
      <c r="K54" s="492"/>
      <c r="L54" s="478"/>
      <c r="M54" s="493">
        <v>980.2</v>
      </c>
      <c r="N54" s="480">
        <f t="shared" si="10"/>
        <v>980.2</v>
      </c>
    </row>
    <row r="55" spans="1:14">
      <c r="A55" s="513" t="s">
        <v>568</v>
      </c>
      <c r="B55" s="478"/>
      <c r="C55" s="492"/>
      <c r="D55" s="478"/>
      <c r="E55" s="492"/>
      <c r="F55" s="478"/>
      <c r="G55" s="492"/>
      <c r="H55" s="478"/>
      <c r="I55" s="492"/>
      <c r="J55" s="478"/>
      <c r="K55" s="492"/>
      <c r="L55" s="478"/>
      <c r="M55" s="493">
        <v>1740</v>
      </c>
      <c r="N55" s="480">
        <f t="shared" si="10"/>
        <v>1740</v>
      </c>
    </row>
    <row r="56" spans="1:14">
      <c r="A56" s="514" t="s">
        <v>1141</v>
      </c>
      <c r="B56" s="478">
        <v>5.8</v>
      </c>
      <c r="C56" s="492">
        <v>5.8</v>
      </c>
      <c r="D56" s="478">
        <v>5.8</v>
      </c>
      <c r="E56" s="492">
        <v>5.8</v>
      </c>
      <c r="F56" s="478">
        <v>5.8</v>
      </c>
      <c r="G56" s="492">
        <v>5.8</v>
      </c>
      <c r="H56" s="478">
        <v>5.8</v>
      </c>
      <c r="I56" s="492">
        <v>5.8</v>
      </c>
      <c r="J56" s="478">
        <v>5.8</v>
      </c>
      <c r="K56" s="492">
        <v>5.8</v>
      </c>
      <c r="L56" s="478">
        <v>0</v>
      </c>
      <c r="M56" s="493">
        <v>-58</v>
      </c>
      <c r="N56" s="480">
        <f t="shared" si="10"/>
        <v>0</v>
      </c>
    </row>
    <row r="57" spans="1:14">
      <c r="A57" s="513" t="s">
        <v>558</v>
      </c>
      <c r="B57" s="478">
        <v>123156.9</v>
      </c>
      <c r="C57" s="492">
        <v>0</v>
      </c>
      <c r="D57" s="478">
        <v>0</v>
      </c>
      <c r="E57" s="492">
        <v>0</v>
      </c>
      <c r="F57" s="478">
        <v>0</v>
      </c>
      <c r="G57" s="492">
        <v>0</v>
      </c>
      <c r="H57" s="478">
        <v>0</v>
      </c>
      <c r="I57" s="492">
        <v>0</v>
      </c>
      <c r="J57" s="478">
        <v>0</v>
      </c>
      <c r="K57" s="492">
        <v>0</v>
      </c>
      <c r="L57" s="478">
        <v>1491062.53</v>
      </c>
      <c r="M57" s="493">
        <f>-1614219.43+2614056.64</f>
        <v>999837.2100000002</v>
      </c>
      <c r="N57" s="480">
        <f t="shared" si="10"/>
        <v>2614056.64</v>
      </c>
    </row>
    <row r="58" spans="1:14">
      <c r="A58" s="513" t="s">
        <v>550</v>
      </c>
      <c r="B58" s="478"/>
      <c r="C58" s="492"/>
      <c r="D58" s="478"/>
      <c r="E58" s="492"/>
      <c r="F58" s="478"/>
      <c r="G58" s="492"/>
      <c r="H58" s="478"/>
      <c r="I58" s="492"/>
      <c r="J58" s="478"/>
      <c r="K58" s="492"/>
      <c r="L58" s="478"/>
      <c r="M58" s="493"/>
      <c r="N58" s="480">
        <f t="shared" si="10"/>
        <v>0</v>
      </c>
    </row>
    <row r="59" spans="1:14">
      <c r="A59" s="513" t="s">
        <v>491</v>
      </c>
      <c r="B59" s="478"/>
      <c r="C59" s="492"/>
      <c r="D59" s="478"/>
      <c r="E59" s="492"/>
      <c r="F59" s="478"/>
      <c r="G59" s="492"/>
      <c r="H59" s="478"/>
      <c r="I59" s="492"/>
      <c r="J59" s="478"/>
      <c r="K59" s="492"/>
      <c r="L59" s="478"/>
      <c r="M59" s="493"/>
      <c r="N59" s="480">
        <f t="shared" si="10"/>
        <v>0</v>
      </c>
    </row>
    <row r="60" spans="1:14">
      <c r="A60" s="513" t="s">
        <v>492</v>
      </c>
      <c r="B60" s="478">
        <v>1986112.1099999999</v>
      </c>
      <c r="C60" s="492">
        <v>0</v>
      </c>
      <c r="D60" s="478">
        <v>0</v>
      </c>
      <c r="E60" s="492">
        <v>0</v>
      </c>
      <c r="F60" s="478">
        <v>0</v>
      </c>
      <c r="G60" s="492">
        <v>0</v>
      </c>
      <c r="H60" s="478">
        <v>0</v>
      </c>
      <c r="I60" s="492">
        <v>0</v>
      </c>
      <c r="J60" s="478">
        <v>0</v>
      </c>
      <c r="K60" s="492">
        <v>0</v>
      </c>
      <c r="L60" s="478">
        <v>2000000</v>
      </c>
      <c r="M60" s="493">
        <f>-3986112.11+7562045.06</f>
        <v>3575932.9499999997</v>
      </c>
      <c r="N60" s="480">
        <f t="shared" si="10"/>
        <v>7562045.0599999996</v>
      </c>
    </row>
    <row r="61" spans="1:14">
      <c r="A61" s="513" t="s">
        <v>569</v>
      </c>
      <c r="B61" s="478">
        <v>265924.82</v>
      </c>
      <c r="C61" s="492">
        <v>0</v>
      </c>
      <c r="D61" s="478">
        <v>0</v>
      </c>
      <c r="E61" s="492">
        <v>0</v>
      </c>
      <c r="F61" s="478">
        <v>0</v>
      </c>
      <c r="G61" s="492">
        <v>0</v>
      </c>
      <c r="H61" s="478">
        <v>0</v>
      </c>
      <c r="I61" s="492">
        <v>0</v>
      </c>
      <c r="J61" s="478">
        <v>0</v>
      </c>
      <c r="K61" s="492">
        <v>0</v>
      </c>
      <c r="L61" s="478">
        <v>0</v>
      </c>
      <c r="M61" s="495">
        <f>-265924.82+237588.56</f>
        <v>-28336.260000000009</v>
      </c>
      <c r="N61" s="480">
        <f t="shared" si="10"/>
        <v>237588.56</v>
      </c>
    </row>
    <row r="62" spans="1:14">
      <c r="A62" s="514" t="s">
        <v>1142</v>
      </c>
      <c r="B62" s="478">
        <v>1013750</v>
      </c>
      <c r="C62" s="492">
        <v>1013750</v>
      </c>
      <c r="D62" s="478">
        <v>1013750</v>
      </c>
      <c r="E62" s="492">
        <v>1013750</v>
      </c>
      <c r="F62" s="478">
        <v>1013750</v>
      </c>
      <c r="G62" s="492">
        <v>1013750</v>
      </c>
      <c r="H62" s="478">
        <v>1013750</v>
      </c>
      <c r="I62" s="492">
        <v>1013750</v>
      </c>
      <c r="J62" s="478">
        <v>1013750</v>
      </c>
      <c r="K62" s="492">
        <v>1013750</v>
      </c>
      <c r="L62" s="478">
        <v>3160286.68</v>
      </c>
      <c r="M62" s="495">
        <f>-13297786.68+13236429.65</f>
        <v>-61357.029999999329</v>
      </c>
      <c r="N62" s="480">
        <f t="shared" si="10"/>
        <v>13236429.65</v>
      </c>
    </row>
    <row r="63" spans="1:14" ht="30" customHeight="1">
      <c r="A63" s="515" t="s">
        <v>24</v>
      </c>
      <c r="B63" s="482">
        <f>SUM(B64:B97)</f>
        <v>29905876.390000001</v>
      </c>
      <c r="C63" s="496">
        <f t="shared" ref="C63:N63" si="11">SUM(C64:C97)</f>
        <v>15147373.25</v>
      </c>
      <c r="D63" s="482">
        <f t="shared" si="11"/>
        <v>21622313.25</v>
      </c>
      <c r="E63" s="496">
        <f t="shared" si="11"/>
        <v>12653131.25</v>
      </c>
      <c r="F63" s="482">
        <f t="shared" si="11"/>
        <v>11323744.25</v>
      </c>
      <c r="G63" s="496">
        <f t="shared" si="11"/>
        <v>10415062.25</v>
      </c>
      <c r="H63" s="482">
        <f t="shared" si="11"/>
        <v>11543130.25</v>
      </c>
      <c r="I63" s="496">
        <f t="shared" si="11"/>
        <v>11648645.25</v>
      </c>
      <c r="J63" s="482">
        <f t="shared" si="11"/>
        <v>16307126.25</v>
      </c>
      <c r="K63" s="496">
        <f t="shared" si="11"/>
        <v>10768819.25</v>
      </c>
      <c r="L63" s="482">
        <f t="shared" si="11"/>
        <v>32601142.25</v>
      </c>
      <c r="M63" s="497">
        <f t="shared" si="11"/>
        <v>50381847.820000008</v>
      </c>
      <c r="N63" s="483">
        <f t="shared" si="11"/>
        <v>234318211.71000001</v>
      </c>
    </row>
    <row r="64" spans="1:14">
      <c r="A64" s="513" t="s">
        <v>358</v>
      </c>
      <c r="B64" s="478">
        <v>8177890</v>
      </c>
      <c r="C64" s="492">
        <v>6672355</v>
      </c>
      <c r="D64" s="478">
        <v>8026287</v>
      </c>
      <c r="E64" s="492">
        <v>7023747</v>
      </c>
      <c r="F64" s="478">
        <v>7848726</v>
      </c>
      <c r="G64" s="492">
        <v>6940044</v>
      </c>
      <c r="H64" s="478">
        <v>8068112</v>
      </c>
      <c r="I64" s="492">
        <v>8173627</v>
      </c>
      <c r="J64" s="478">
        <v>7766592</v>
      </c>
      <c r="K64" s="492">
        <v>7293801</v>
      </c>
      <c r="L64" s="478">
        <v>7799031</v>
      </c>
      <c r="M64" s="493">
        <f>-83790212+93271975.78</f>
        <v>9481763.7800000012</v>
      </c>
      <c r="N64" s="480">
        <f t="shared" ref="N64:N97" si="12">SUM(B64:M64)</f>
        <v>93271975.780000001</v>
      </c>
    </row>
    <row r="65" spans="1:14">
      <c r="A65" s="513" t="s">
        <v>515</v>
      </c>
      <c r="B65" s="478"/>
      <c r="C65" s="492"/>
      <c r="D65" s="478"/>
      <c r="E65" s="492"/>
      <c r="F65" s="478"/>
      <c r="G65" s="492"/>
      <c r="H65" s="478"/>
      <c r="I65" s="492"/>
      <c r="J65" s="478"/>
      <c r="K65" s="492"/>
      <c r="L65" s="478"/>
      <c r="M65" s="493">
        <v>220899.4</v>
      </c>
      <c r="N65" s="480">
        <f t="shared" si="12"/>
        <v>220899.4</v>
      </c>
    </row>
    <row r="66" spans="1:14">
      <c r="A66" s="513" t="s">
        <v>502</v>
      </c>
      <c r="B66" s="478"/>
      <c r="C66" s="492"/>
      <c r="D66" s="478"/>
      <c r="E66" s="492"/>
      <c r="F66" s="478"/>
      <c r="G66" s="492"/>
      <c r="H66" s="478"/>
      <c r="I66" s="492"/>
      <c r="J66" s="478"/>
      <c r="K66" s="492"/>
      <c r="L66" s="478"/>
      <c r="M66" s="493"/>
      <c r="N66" s="480">
        <f t="shared" si="12"/>
        <v>0</v>
      </c>
    </row>
    <row r="67" spans="1:14">
      <c r="A67" s="513" t="s">
        <v>497</v>
      </c>
      <c r="B67" s="478"/>
      <c r="C67" s="492"/>
      <c r="D67" s="478"/>
      <c r="E67" s="492"/>
      <c r="F67" s="478"/>
      <c r="G67" s="492"/>
      <c r="H67" s="478"/>
      <c r="I67" s="492"/>
      <c r="J67" s="478"/>
      <c r="K67" s="492"/>
      <c r="L67" s="478"/>
      <c r="M67" s="493"/>
      <c r="N67" s="480">
        <f t="shared" si="12"/>
        <v>0</v>
      </c>
    </row>
    <row r="68" spans="1:14">
      <c r="A68" s="513" t="s">
        <v>571</v>
      </c>
      <c r="B68" s="478"/>
      <c r="C68" s="492"/>
      <c r="D68" s="478"/>
      <c r="E68" s="492"/>
      <c r="F68" s="478"/>
      <c r="G68" s="492"/>
      <c r="H68" s="478"/>
      <c r="I68" s="492"/>
      <c r="J68" s="478"/>
      <c r="K68" s="492"/>
      <c r="L68" s="478"/>
      <c r="M68" s="493">
        <v>3114437.6</v>
      </c>
      <c r="N68" s="480">
        <f t="shared" si="12"/>
        <v>3114437.6</v>
      </c>
    </row>
    <row r="69" spans="1:14">
      <c r="A69" s="514" t="s">
        <v>1143</v>
      </c>
      <c r="B69" s="478">
        <v>943000</v>
      </c>
      <c r="C69" s="492">
        <v>0</v>
      </c>
      <c r="D69" s="478">
        <v>5121008</v>
      </c>
      <c r="E69" s="492">
        <v>452400</v>
      </c>
      <c r="F69" s="478">
        <v>0</v>
      </c>
      <c r="G69" s="492">
        <v>0</v>
      </c>
      <c r="H69" s="478">
        <v>0</v>
      </c>
      <c r="I69" s="492">
        <v>0</v>
      </c>
      <c r="J69" s="478">
        <v>5065516</v>
      </c>
      <c r="K69" s="492">
        <v>0</v>
      </c>
      <c r="L69" s="478">
        <v>1893960</v>
      </c>
      <c r="M69" s="493">
        <f>-13475884+7593277.12</f>
        <v>-5882606.8799999999</v>
      </c>
      <c r="N69" s="480">
        <f t="shared" si="12"/>
        <v>7593277.1200000001</v>
      </c>
    </row>
    <row r="70" spans="1:14">
      <c r="A70" s="513" t="s">
        <v>503</v>
      </c>
      <c r="B70" s="478"/>
      <c r="C70" s="492"/>
      <c r="D70" s="478"/>
      <c r="E70" s="492"/>
      <c r="F70" s="478"/>
      <c r="G70" s="492"/>
      <c r="H70" s="478"/>
      <c r="I70" s="492"/>
      <c r="J70" s="478"/>
      <c r="K70" s="492"/>
      <c r="L70" s="478"/>
      <c r="M70" s="493"/>
      <c r="N70" s="480">
        <f t="shared" si="12"/>
        <v>0</v>
      </c>
    </row>
    <row r="71" spans="1:14">
      <c r="A71" s="513" t="s">
        <v>498</v>
      </c>
      <c r="B71" s="478"/>
      <c r="C71" s="492"/>
      <c r="D71" s="478"/>
      <c r="E71" s="492"/>
      <c r="F71" s="478"/>
      <c r="G71" s="492"/>
      <c r="H71" s="478"/>
      <c r="I71" s="492"/>
      <c r="J71" s="478"/>
      <c r="K71" s="492"/>
      <c r="L71" s="478"/>
      <c r="M71" s="493"/>
      <c r="N71" s="480">
        <f t="shared" si="12"/>
        <v>0</v>
      </c>
    </row>
    <row r="72" spans="1:14">
      <c r="A72" s="513" t="s">
        <v>572</v>
      </c>
      <c r="B72" s="478"/>
      <c r="C72" s="492"/>
      <c r="D72" s="478"/>
      <c r="E72" s="492"/>
      <c r="F72" s="478"/>
      <c r="G72" s="492"/>
      <c r="H72" s="478"/>
      <c r="I72" s="492"/>
      <c r="J72" s="478"/>
      <c r="K72" s="492"/>
      <c r="L72" s="478"/>
      <c r="M72" s="493"/>
      <c r="N72" s="480">
        <f t="shared" si="12"/>
        <v>0</v>
      </c>
    </row>
    <row r="73" spans="1:14">
      <c r="A73" s="514" t="s">
        <v>1144</v>
      </c>
      <c r="B73" s="478">
        <v>120000</v>
      </c>
      <c r="C73" s="492">
        <v>120000</v>
      </c>
      <c r="D73" s="478">
        <v>120000</v>
      </c>
      <c r="E73" s="492">
        <v>120000</v>
      </c>
      <c r="F73" s="478">
        <v>120000</v>
      </c>
      <c r="G73" s="492">
        <v>120000</v>
      </c>
      <c r="H73" s="478">
        <v>120000</v>
      </c>
      <c r="I73" s="492">
        <v>120000</v>
      </c>
      <c r="J73" s="478">
        <v>120000</v>
      </c>
      <c r="K73" s="492">
        <v>120000</v>
      </c>
      <c r="L73" s="478">
        <v>120000</v>
      </c>
      <c r="M73" s="493">
        <v>120000</v>
      </c>
      <c r="N73" s="480">
        <f t="shared" si="12"/>
        <v>1440000</v>
      </c>
    </row>
    <row r="74" spans="1:14">
      <c r="A74" s="513" t="s">
        <v>504</v>
      </c>
      <c r="B74" s="478"/>
      <c r="C74" s="492"/>
      <c r="D74" s="478"/>
      <c r="E74" s="492"/>
      <c r="F74" s="478"/>
      <c r="G74" s="492"/>
      <c r="H74" s="478"/>
      <c r="I74" s="492"/>
      <c r="J74" s="478"/>
      <c r="K74" s="492"/>
      <c r="L74" s="478"/>
      <c r="M74" s="493"/>
      <c r="N74" s="480">
        <f t="shared" si="12"/>
        <v>0</v>
      </c>
    </row>
    <row r="75" spans="1:14">
      <c r="A75" s="513" t="s">
        <v>499</v>
      </c>
      <c r="B75" s="478"/>
      <c r="C75" s="492"/>
      <c r="D75" s="478"/>
      <c r="E75" s="492"/>
      <c r="F75" s="478"/>
      <c r="G75" s="492"/>
      <c r="H75" s="478"/>
      <c r="I75" s="492"/>
      <c r="J75" s="478"/>
      <c r="K75" s="492"/>
      <c r="L75" s="478"/>
      <c r="M75" s="493"/>
      <c r="N75" s="480">
        <f t="shared" si="12"/>
        <v>0</v>
      </c>
    </row>
    <row r="76" spans="1:14">
      <c r="A76" s="513" t="s">
        <v>573</v>
      </c>
      <c r="B76" s="478"/>
      <c r="C76" s="492"/>
      <c r="D76" s="478"/>
      <c r="E76" s="492"/>
      <c r="F76" s="478"/>
      <c r="G76" s="492"/>
      <c r="H76" s="478"/>
      <c r="I76" s="492"/>
      <c r="J76" s="478"/>
      <c r="K76" s="492"/>
      <c r="L76" s="478"/>
      <c r="M76" s="493">
        <v>887046.43</v>
      </c>
      <c r="N76" s="480">
        <f t="shared" si="12"/>
        <v>887046.43</v>
      </c>
    </row>
    <row r="77" spans="1:14" ht="13.5" thickBot="1">
      <c r="A77" s="516" t="s">
        <v>1151</v>
      </c>
      <c r="B77" s="487">
        <v>2870248</v>
      </c>
      <c r="C77" s="517">
        <v>408290</v>
      </c>
      <c r="D77" s="487">
        <v>408290</v>
      </c>
      <c r="E77" s="517">
        <v>408290</v>
      </c>
      <c r="F77" s="487">
        <v>408290</v>
      </c>
      <c r="G77" s="517">
        <v>408290</v>
      </c>
      <c r="H77" s="487">
        <v>408290</v>
      </c>
      <c r="I77" s="517">
        <v>408290</v>
      </c>
      <c r="J77" s="487">
        <v>408290</v>
      </c>
      <c r="K77" s="517">
        <v>408290</v>
      </c>
      <c r="L77" s="487">
        <v>408290</v>
      </c>
      <c r="M77" s="518">
        <f>-6953148+5298445.11</f>
        <v>-1654702.8899999997</v>
      </c>
      <c r="N77" s="489">
        <f t="shared" si="12"/>
        <v>5298445.1100000003</v>
      </c>
    </row>
    <row r="78" spans="1:14">
      <c r="A78" s="491" t="s">
        <v>491</v>
      </c>
      <c r="B78" s="478">
        <v>3676022.98</v>
      </c>
      <c r="C78" s="492">
        <v>0</v>
      </c>
      <c r="D78" s="478">
        <v>0</v>
      </c>
      <c r="E78" s="492">
        <v>0</v>
      </c>
      <c r="F78" s="478">
        <v>0</v>
      </c>
      <c r="G78" s="492">
        <v>0</v>
      </c>
      <c r="H78" s="478">
        <v>0</v>
      </c>
      <c r="I78" s="492">
        <v>0</v>
      </c>
      <c r="J78" s="478">
        <v>0</v>
      </c>
      <c r="K78" s="492">
        <v>0</v>
      </c>
      <c r="L78" s="478">
        <v>0</v>
      </c>
      <c r="M78" s="493">
        <v>-3676022.98</v>
      </c>
      <c r="N78" s="478">
        <f t="shared" si="12"/>
        <v>0</v>
      </c>
    </row>
    <row r="79" spans="1:14">
      <c r="A79" s="491" t="s">
        <v>492</v>
      </c>
      <c r="B79" s="478">
        <v>60507.66</v>
      </c>
      <c r="C79" s="492">
        <v>0</v>
      </c>
      <c r="D79" s="478">
        <v>0</v>
      </c>
      <c r="E79" s="492">
        <v>0</v>
      </c>
      <c r="F79" s="478">
        <v>0</v>
      </c>
      <c r="G79" s="492">
        <v>0</v>
      </c>
      <c r="H79" s="478">
        <v>0</v>
      </c>
      <c r="I79" s="492">
        <v>0</v>
      </c>
      <c r="J79" s="478">
        <v>0</v>
      </c>
      <c r="K79" s="492">
        <v>0</v>
      </c>
      <c r="L79" s="478">
        <v>0</v>
      </c>
      <c r="M79" s="493">
        <v>-60507.66</v>
      </c>
      <c r="N79" s="478">
        <f t="shared" si="12"/>
        <v>0</v>
      </c>
    </row>
    <row r="80" spans="1:14">
      <c r="A80" s="491" t="s">
        <v>569</v>
      </c>
      <c r="B80" s="478">
        <v>81479.5</v>
      </c>
      <c r="C80" s="492">
        <v>0</v>
      </c>
      <c r="D80" s="478">
        <v>0</v>
      </c>
      <c r="E80" s="492">
        <v>0</v>
      </c>
      <c r="F80" s="478">
        <v>0</v>
      </c>
      <c r="G80" s="492">
        <v>0</v>
      </c>
      <c r="H80" s="478">
        <v>0</v>
      </c>
      <c r="I80" s="492">
        <v>0</v>
      </c>
      <c r="J80" s="478">
        <v>0</v>
      </c>
      <c r="K80" s="492">
        <v>0</v>
      </c>
      <c r="L80" s="478">
        <v>0</v>
      </c>
      <c r="M80" s="493">
        <v>-81479.5</v>
      </c>
      <c r="N80" s="478">
        <f t="shared" si="12"/>
        <v>0</v>
      </c>
    </row>
    <row r="81" spans="1:14">
      <c r="A81" s="491" t="s">
        <v>501</v>
      </c>
      <c r="B81" s="478"/>
      <c r="C81" s="492"/>
      <c r="D81" s="478"/>
      <c r="E81" s="492"/>
      <c r="F81" s="478"/>
      <c r="G81" s="492"/>
      <c r="H81" s="478"/>
      <c r="I81" s="492"/>
      <c r="J81" s="478"/>
      <c r="K81" s="492"/>
      <c r="L81" s="478"/>
      <c r="M81" s="493"/>
      <c r="N81" s="478">
        <f t="shared" si="12"/>
        <v>0</v>
      </c>
    </row>
    <row r="82" spans="1:14">
      <c r="A82" s="491" t="s">
        <v>500</v>
      </c>
      <c r="B82" s="478"/>
      <c r="C82" s="492"/>
      <c r="D82" s="478"/>
      <c r="E82" s="492"/>
      <c r="F82" s="478"/>
      <c r="G82" s="492"/>
      <c r="H82" s="478"/>
      <c r="I82" s="492"/>
      <c r="J82" s="478"/>
      <c r="K82" s="492"/>
      <c r="L82" s="478"/>
      <c r="M82" s="493"/>
      <c r="N82" s="478">
        <f t="shared" si="12"/>
        <v>0</v>
      </c>
    </row>
    <row r="83" spans="1:14">
      <c r="A83" s="491" t="s">
        <v>570</v>
      </c>
      <c r="B83" s="478"/>
      <c r="C83" s="492"/>
      <c r="D83" s="478"/>
      <c r="E83" s="492"/>
      <c r="F83" s="478"/>
      <c r="G83" s="492"/>
      <c r="H83" s="478"/>
      <c r="I83" s="492"/>
      <c r="J83" s="478"/>
      <c r="K83" s="492"/>
      <c r="L83" s="478"/>
      <c r="M83" s="493">
        <v>1385434.56</v>
      </c>
      <c r="N83" s="478">
        <f t="shared" si="12"/>
        <v>1385434.56</v>
      </c>
    </row>
    <row r="84" spans="1:14">
      <c r="A84" s="494" t="s">
        <v>1145</v>
      </c>
      <c r="B84" s="478">
        <v>6030000</v>
      </c>
      <c r="C84" s="492">
        <v>0</v>
      </c>
      <c r="D84" s="478">
        <v>0</v>
      </c>
      <c r="E84" s="492">
        <v>0</v>
      </c>
      <c r="F84" s="478">
        <v>0</v>
      </c>
      <c r="G84" s="492">
        <v>0</v>
      </c>
      <c r="H84" s="478">
        <v>0</v>
      </c>
      <c r="I84" s="492">
        <v>0</v>
      </c>
      <c r="J84" s="478">
        <v>0</v>
      </c>
      <c r="K84" s="492">
        <v>0</v>
      </c>
      <c r="L84" s="478">
        <v>200000</v>
      </c>
      <c r="M84" s="493">
        <f>-6230000+1898691.09</f>
        <v>-4331308.91</v>
      </c>
      <c r="N84" s="478">
        <f t="shared" si="12"/>
        <v>1898691.0899999999</v>
      </c>
    </row>
    <row r="85" spans="1:14" s="198" customFormat="1">
      <c r="A85" s="491" t="s">
        <v>489</v>
      </c>
      <c r="B85" s="478"/>
      <c r="C85" s="492"/>
      <c r="D85" s="478"/>
      <c r="E85" s="492"/>
      <c r="F85" s="478"/>
      <c r="G85" s="492"/>
      <c r="H85" s="478"/>
      <c r="I85" s="492"/>
      <c r="J85" s="478"/>
      <c r="K85" s="492"/>
      <c r="L85" s="478"/>
      <c r="M85" s="493">
        <v>5.8</v>
      </c>
      <c r="N85" s="478">
        <f t="shared" si="12"/>
        <v>5.8</v>
      </c>
    </row>
    <row r="86" spans="1:14" s="198" customFormat="1">
      <c r="A86" s="491" t="s">
        <v>490</v>
      </c>
      <c r="B86" s="478"/>
      <c r="C86" s="492"/>
      <c r="D86" s="478"/>
      <c r="E86" s="492"/>
      <c r="F86" s="478"/>
      <c r="G86" s="492"/>
      <c r="H86" s="478"/>
      <c r="I86" s="492"/>
      <c r="J86" s="478"/>
      <c r="K86" s="492"/>
      <c r="L86" s="478"/>
      <c r="M86" s="493"/>
      <c r="N86" s="478">
        <f t="shared" si="12"/>
        <v>0</v>
      </c>
    </row>
    <row r="87" spans="1:14" s="198" customFormat="1">
      <c r="A87" s="491" t="s">
        <v>568</v>
      </c>
      <c r="B87" s="478"/>
      <c r="C87" s="492"/>
      <c r="D87" s="478"/>
      <c r="E87" s="492"/>
      <c r="F87" s="478"/>
      <c r="G87" s="492"/>
      <c r="H87" s="478"/>
      <c r="I87" s="492"/>
      <c r="J87" s="478"/>
      <c r="K87" s="492"/>
      <c r="L87" s="478"/>
      <c r="M87" s="493">
        <v>996.32</v>
      </c>
      <c r="N87" s="478">
        <f t="shared" si="12"/>
        <v>996.32</v>
      </c>
    </row>
    <row r="88" spans="1:14" s="198" customFormat="1">
      <c r="A88" s="494" t="s">
        <v>1141</v>
      </c>
      <c r="B88" s="478">
        <v>200</v>
      </c>
      <c r="C88" s="492">
        <v>200</v>
      </c>
      <c r="D88" s="478">
        <v>200</v>
      </c>
      <c r="E88" s="492">
        <v>200</v>
      </c>
      <c r="F88" s="478">
        <v>200</v>
      </c>
      <c r="G88" s="492">
        <v>200</v>
      </c>
      <c r="H88" s="478">
        <v>200</v>
      </c>
      <c r="I88" s="492">
        <v>200</v>
      </c>
      <c r="J88" s="478">
        <v>200</v>
      </c>
      <c r="K88" s="492">
        <v>200</v>
      </c>
      <c r="L88" s="478">
        <v>0</v>
      </c>
      <c r="M88" s="493">
        <f>-2000+5.8</f>
        <v>-1994.2</v>
      </c>
      <c r="N88" s="478">
        <f t="shared" si="12"/>
        <v>5.7999999999999545</v>
      </c>
    </row>
    <row r="89" spans="1:14" s="198" customFormat="1">
      <c r="A89" s="491" t="s">
        <v>398</v>
      </c>
      <c r="B89" s="478"/>
      <c r="C89" s="492"/>
      <c r="D89" s="478"/>
      <c r="E89" s="492"/>
      <c r="F89" s="478"/>
      <c r="G89" s="492"/>
      <c r="H89" s="478"/>
      <c r="I89" s="492"/>
      <c r="J89" s="478"/>
      <c r="K89" s="492"/>
      <c r="L89" s="478"/>
      <c r="M89" s="493"/>
      <c r="N89" s="478">
        <f t="shared" si="12"/>
        <v>0</v>
      </c>
    </row>
    <row r="90" spans="1:14" s="198" customFormat="1">
      <c r="A90" s="491" t="s">
        <v>301</v>
      </c>
      <c r="B90" s="478"/>
      <c r="C90" s="492"/>
      <c r="D90" s="478"/>
      <c r="E90" s="492"/>
      <c r="F90" s="478"/>
      <c r="G90" s="492"/>
      <c r="H90" s="478"/>
      <c r="I90" s="492"/>
      <c r="J90" s="478"/>
      <c r="K90" s="492"/>
      <c r="L90" s="478"/>
      <c r="M90" s="493"/>
      <c r="N90" s="478">
        <f t="shared" si="12"/>
        <v>0</v>
      </c>
    </row>
    <row r="91" spans="1:14" s="198" customFormat="1">
      <c r="A91" s="491" t="s">
        <v>464</v>
      </c>
      <c r="B91" s="478">
        <v>7500000</v>
      </c>
      <c r="C91" s="492">
        <v>7500000</v>
      </c>
      <c r="D91" s="478">
        <v>7500000</v>
      </c>
      <c r="E91" s="492">
        <v>4201966</v>
      </c>
      <c r="F91" s="478">
        <v>2500000</v>
      </c>
      <c r="G91" s="492">
        <v>2500000</v>
      </c>
      <c r="H91" s="478">
        <v>2500000</v>
      </c>
      <c r="I91" s="492">
        <v>2500000</v>
      </c>
      <c r="J91" s="478">
        <v>2500000</v>
      </c>
      <c r="K91" s="492">
        <v>2500000</v>
      </c>
      <c r="L91" s="478">
        <v>20833333</v>
      </c>
      <c r="M91" s="493">
        <f>-62535299+110848656.2</f>
        <v>48313357.200000003</v>
      </c>
      <c r="N91" s="478">
        <f t="shared" si="12"/>
        <v>110848656.2</v>
      </c>
    </row>
    <row r="92" spans="1:14" s="198" customFormat="1">
      <c r="A92" s="491" t="s">
        <v>439</v>
      </c>
      <c r="B92" s="478"/>
      <c r="C92" s="492"/>
      <c r="D92" s="478"/>
      <c r="E92" s="492"/>
      <c r="F92" s="478"/>
      <c r="G92" s="492"/>
      <c r="H92" s="478"/>
      <c r="I92" s="492"/>
      <c r="J92" s="478"/>
      <c r="K92" s="492"/>
      <c r="L92" s="478"/>
      <c r="M92" s="493"/>
      <c r="N92" s="478">
        <f t="shared" si="12"/>
        <v>0</v>
      </c>
    </row>
    <row r="93" spans="1:14" s="198" customFormat="1">
      <c r="A93" s="491" t="s">
        <v>544</v>
      </c>
      <c r="B93" s="478"/>
      <c r="C93" s="492"/>
      <c r="D93" s="478"/>
      <c r="E93" s="492"/>
      <c r="F93" s="478"/>
      <c r="G93" s="492"/>
      <c r="H93" s="478"/>
      <c r="I93" s="492"/>
      <c r="J93" s="478"/>
      <c r="K93" s="492"/>
      <c r="L93" s="478">
        <v>900000</v>
      </c>
      <c r="M93" s="493">
        <v>2100000</v>
      </c>
      <c r="N93" s="478">
        <f t="shared" si="12"/>
        <v>3000000</v>
      </c>
    </row>
    <row r="94" spans="1:14" s="198" customFormat="1">
      <c r="A94" s="491" t="s">
        <v>553</v>
      </c>
      <c r="B94" s="478"/>
      <c r="C94" s="492"/>
      <c r="D94" s="478"/>
      <c r="E94" s="492"/>
      <c r="F94" s="478"/>
      <c r="G94" s="492"/>
      <c r="H94" s="478"/>
      <c r="I94" s="492"/>
      <c r="J94" s="478"/>
      <c r="K94" s="492"/>
      <c r="L94" s="478"/>
      <c r="M94" s="493"/>
      <c r="N94" s="478">
        <f t="shared" si="12"/>
        <v>0</v>
      </c>
    </row>
    <row r="95" spans="1:14" s="198" customFormat="1">
      <c r="A95" s="491" t="s">
        <v>539</v>
      </c>
      <c r="B95" s="478"/>
      <c r="C95" s="492"/>
      <c r="D95" s="478"/>
      <c r="E95" s="492"/>
      <c r="F95" s="478"/>
      <c r="G95" s="492"/>
      <c r="H95" s="478"/>
      <c r="I95" s="492"/>
      <c r="J95" s="478"/>
      <c r="K95" s="492"/>
      <c r="L95" s="478"/>
      <c r="M95" s="493"/>
      <c r="N95" s="478">
        <f t="shared" si="12"/>
        <v>0</v>
      </c>
    </row>
    <row r="96" spans="1:14" s="198" customFormat="1">
      <c r="A96" s="491" t="s">
        <v>540</v>
      </c>
      <c r="B96" s="478"/>
      <c r="C96" s="492"/>
      <c r="D96" s="478"/>
      <c r="E96" s="492"/>
      <c r="F96" s="478"/>
      <c r="G96" s="492"/>
      <c r="H96" s="478"/>
      <c r="I96" s="492"/>
      <c r="J96" s="478"/>
      <c r="K96" s="492"/>
      <c r="L96" s="478"/>
      <c r="M96" s="493"/>
      <c r="N96" s="478">
        <f t="shared" si="12"/>
        <v>0</v>
      </c>
    </row>
    <row r="97" spans="1:14" s="198" customFormat="1">
      <c r="A97" s="491" t="s">
        <v>597</v>
      </c>
      <c r="B97" s="478">
        <v>446528.25</v>
      </c>
      <c r="C97" s="492">
        <v>446528.25</v>
      </c>
      <c r="D97" s="478">
        <v>446528.25</v>
      </c>
      <c r="E97" s="492">
        <v>446528.25</v>
      </c>
      <c r="F97" s="478">
        <v>446528.25</v>
      </c>
      <c r="G97" s="492">
        <v>446528.25</v>
      </c>
      <c r="H97" s="478">
        <v>446528.25</v>
      </c>
      <c r="I97" s="492">
        <v>446528.25</v>
      </c>
      <c r="J97" s="478">
        <v>446528.25</v>
      </c>
      <c r="K97" s="492">
        <v>446528.25</v>
      </c>
      <c r="L97" s="478">
        <v>446528.25</v>
      </c>
      <c r="M97" s="492">
        <f>-4911810.75+5358340.5</f>
        <v>446529.75</v>
      </c>
      <c r="N97" s="478">
        <f t="shared" si="12"/>
        <v>5358340.5</v>
      </c>
    </row>
    <row r="98" spans="1:14">
      <c r="A98" s="490" t="s">
        <v>128</v>
      </c>
      <c r="B98" s="482">
        <f>SUM(B99:B103)</f>
        <v>348200</v>
      </c>
      <c r="C98" s="496">
        <f t="shared" ref="C98:N98" si="13">SUM(C99:C103)</f>
        <v>873200</v>
      </c>
      <c r="D98" s="482">
        <f t="shared" si="13"/>
        <v>873200</v>
      </c>
      <c r="E98" s="496">
        <f t="shared" si="13"/>
        <v>873200</v>
      </c>
      <c r="F98" s="482">
        <f t="shared" si="13"/>
        <v>873200</v>
      </c>
      <c r="G98" s="496">
        <f t="shared" si="13"/>
        <v>873200</v>
      </c>
      <c r="H98" s="482">
        <f t="shared" si="13"/>
        <v>873200</v>
      </c>
      <c r="I98" s="496">
        <f t="shared" si="13"/>
        <v>873200</v>
      </c>
      <c r="J98" s="482">
        <f t="shared" si="13"/>
        <v>873200</v>
      </c>
      <c r="K98" s="496">
        <f t="shared" si="13"/>
        <v>873200</v>
      </c>
      <c r="L98" s="482">
        <f t="shared" si="13"/>
        <v>1700500</v>
      </c>
      <c r="M98" s="496">
        <f t="shared" si="13"/>
        <v>30686085.109999999</v>
      </c>
      <c r="N98" s="482">
        <f t="shared" si="13"/>
        <v>40593585.109999999</v>
      </c>
    </row>
    <row r="99" spans="1:14">
      <c r="A99" s="491" t="s">
        <v>524</v>
      </c>
      <c r="B99" s="478"/>
      <c r="C99" s="492"/>
      <c r="D99" s="478"/>
      <c r="E99" s="492"/>
      <c r="F99" s="478"/>
      <c r="G99" s="492"/>
      <c r="H99" s="478"/>
      <c r="I99" s="492"/>
      <c r="J99" s="478"/>
      <c r="K99" s="492"/>
      <c r="L99" s="478">
        <v>0</v>
      </c>
      <c r="M99" s="493">
        <v>23977000</v>
      </c>
      <c r="N99" s="478">
        <f>SUM(B99:M99)</f>
        <v>23977000</v>
      </c>
    </row>
    <row r="100" spans="1:14">
      <c r="A100" s="491" t="s">
        <v>523</v>
      </c>
      <c r="B100" s="478">
        <v>348200</v>
      </c>
      <c r="C100" s="492">
        <v>873200</v>
      </c>
      <c r="D100" s="478">
        <v>873200</v>
      </c>
      <c r="E100" s="492">
        <v>873200</v>
      </c>
      <c r="F100" s="478">
        <v>873200</v>
      </c>
      <c r="G100" s="492">
        <v>873200</v>
      </c>
      <c r="H100" s="478">
        <v>873200</v>
      </c>
      <c r="I100" s="492">
        <v>873200</v>
      </c>
      <c r="J100" s="478">
        <v>873200</v>
      </c>
      <c r="K100" s="492">
        <v>873200</v>
      </c>
      <c r="L100" s="478">
        <v>1700500</v>
      </c>
      <c r="M100" s="493">
        <f>-9907500+416047.59+15782363.52+418174</f>
        <v>6709085.1099999994</v>
      </c>
      <c r="N100" s="478">
        <f>SUM(B100:M100)</f>
        <v>16616585.109999999</v>
      </c>
    </row>
    <row r="101" spans="1:14">
      <c r="A101" s="491" t="s">
        <v>359</v>
      </c>
      <c r="B101" s="478"/>
      <c r="C101" s="492"/>
      <c r="D101" s="478"/>
      <c r="E101" s="492"/>
      <c r="F101" s="478"/>
      <c r="G101" s="492"/>
      <c r="H101" s="478"/>
      <c r="I101" s="492"/>
      <c r="J101" s="478"/>
      <c r="K101" s="492"/>
      <c r="L101" s="478"/>
      <c r="M101" s="493"/>
      <c r="N101" s="478">
        <f>SUM(B101:M101)</f>
        <v>0</v>
      </c>
    </row>
    <row r="102" spans="1:14" s="198" customFormat="1">
      <c r="A102" s="491" t="s">
        <v>367</v>
      </c>
      <c r="B102" s="478"/>
      <c r="C102" s="492"/>
      <c r="D102" s="478"/>
      <c r="E102" s="492"/>
      <c r="F102" s="478"/>
      <c r="G102" s="492"/>
      <c r="H102" s="478"/>
      <c r="I102" s="492"/>
      <c r="J102" s="478"/>
      <c r="K102" s="492"/>
      <c r="L102" s="478"/>
      <c r="M102" s="493"/>
      <c r="N102" s="478">
        <f>SUM(B102:M102)</f>
        <v>0</v>
      </c>
    </row>
    <row r="103" spans="1:14">
      <c r="A103" s="491" t="s">
        <v>399</v>
      </c>
      <c r="B103" s="482"/>
      <c r="C103" s="496"/>
      <c r="D103" s="482"/>
      <c r="E103" s="496"/>
      <c r="F103" s="482"/>
      <c r="G103" s="496"/>
      <c r="H103" s="482"/>
      <c r="I103" s="496"/>
      <c r="J103" s="482"/>
      <c r="K103" s="496"/>
      <c r="L103" s="482"/>
      <c r="M103" s="493"/>
      <c r="N103" s="478">
        <f>SUM(B103:M103)</f>
        <v>0</v>
      </c>
    </row>
    <row r="104" spans="1:14">
      <c r="A104" s="490" t="s">
        <v>26</v>
      </c>
      <c r="B104" s="482">
        <f>SUM(B105:B151)</f>
        <v>28599234.529999997</v>
      </c>
      <c r="C104" s="496">
        <f t="shared" ref="C104:L104" si="14">SUM(C105:C151)</f>
        <v>25570574.369999997</v>
      </c>
      <c r="D104" s="482">
        <f t="shared" si="14"/>
        <v>21134856.43</v>
      </c>
      <c r="E104" s="496">
        <f t="shared" si="14"/>
        <v>7886183</v>
      </c>
      <c r="F104" s="482">
        <f t="shared" si="14"/>
        <v>2024000</v>
      </c>
      <c r="G104" s="496">
        <f t="shared" si="14"/>
        <v>603000</v>
      </c>
      <c r="H104" s="482">
        <f t="shared" si="14"/>
        <v>462000</v>
      </c>
      <c r="I104" s="496">
        <f t="shared" si="14"/>
        <v>488000</v>
      </c>
      <c r="J104" s="482">
        <f t="shared" si="14"/>
        <v>2327600</v>
      </c>
      <c r="K104" s="496">
        <f t="shared" si="14"/>
        <v>2457600</v>
      </c>
      <c r="L104" s="482">
        <f t="shared" si="14"/>
        <v>59262624.739999995</v>
      </c>
      <c r="M104" s="497">
        <f>SUM(M105:M151)</f>
        <v>123383530.47</v>
      </c>
      <c r="N104" s="482">
        <f>SUM(N105:N151)</f>
        <v>274199203.54000002</v>
      </c>
    </row>
    <row r="105" spans="1:14" s="198" customFormat="1">
      <c r="A105" s="491" t="s">
        <v>168</v>
      </c>
      <c r="B105" s="478"/>
      <c r="C105" s="492"/>
      <c r="D105" s="478"/>
      <c r="E105" s="492"/>
      <c r="F105" s="478"/>
      <c r="G105" s="492"/>
      <c r="H105" s="478"/>
      <c r="I105" s="492"/>
      <c r="J105" s="478"/>
      <c r="K105" s="492"/>
      <c r="L105" s="478">
        <v>1828592.45</v>
      </c>
      <c r="M105" s="493">
        <f>-1828592.45+3256760</f>
        <v>1428167.55</v>
      </c>
      <c r="N105" s="478">
        <f>SUM(B105:M105)</f>
        <v>3256760</v>
      </c>
    </row>
    <row r="106" spans="1:14" s="198" customFormat="1">
      <c r="A106" s="491" t="s">
        <v>158</v>
      </c>
      <c r="B106" s="478"/>
      <c r="C106" s="492"/>
      <c r="D106" s="478"/>
      <c r="E106" s="492"/>
      <c r="F106" s="478"/>
      <c r="G106" s="492"/>
      <c r="H106" s="478"/>
      <c r="I106" s="492"/>
      <c r="J106" s="478"/>
      <c r="K106" s="492"/>
      <c r="L106" s="478"/>
      <c r="M106" s="493"/>
      <c r="N106" s="478">
        <f t="shared" ref="N106:N151" si="15">SUM(B106:M106)</f>
        <v>0</v>
      </c>
    </row>
    <row r="107" spans="1:14" s="198" customFormat="1">
      <c r="A107" s="491" t="s">
        <v>347</v>
      </c>
      <c r="B107" s="478"/>
      <c r="C107" s="492"/>
      <c r="D107" s="478"/>
      <c r="E107" s="492"/>
      <c r="F107" s="478"/>
      <c r="G107" s="492"/>
      <c r="H107" s="478"/>
      <c r="I107" s="492"/>
      <c r="J107" s="478"/>
      <c r="K107" s="492"/>
      <c r="L107" s="478"/>
      <c r="M107" s="493"/>
      <c r="N107" s="478">
        <f t="shared" si="15"/>
        <v>0</v>
      </c>
    </row>
    <row r="108" spans="1:14" s="198" customFormat="1">
      <c r="A108" s="491" t="s">
        <v>348</v>
      </c>
      <c r="B108" s="478"/>
      <c r="C108" s="492"/>
      <c r="D108" s="478"/>
      <c r="E108" s="492"/>
      <c r="F108" s="478"/>
      <c r="G108" s="492"/>
      <c r="H108" s="478"/>
      <c r="I108" s="492"/>
      <c r="J108" s="478"/>
      <c r="K108" s="492"/>
      <c r="L108" s="478"/>
      <c r="M108" s="493"/>
      <c r="N108" s="478">
        <f t="shared" si="15"/>
        <v>0</v>
      </c>
    </row>
    <row r="109" spans="1:14" s="198" customFormat="1">
      <c r="A109" s="491" t="s">
        <v>293</v>
      </c>
      <c r="B109" s="478"/>
      <c r="C109" s="492"/>
      <c r="D109" s="478"/>
      <c r="E109" s="492"/>
      <c r="F109" s="478"/>
      <c r="G109" s="492"/>
      <c r="H109" s="478"/>
      <c r="I109" s="492"/>
      <c r="J109" s="478"/>
      <c r="K109" s="492"/>
      <c r="L109" s="478"/>
      <c r="M109" s="493"/>
      <c r="N109" s="478">
        <f t="shared" si="15"/>
        <v>0</v>
      </c>
    </row>
    <row r="110" spans="1:14" s="198" customFormat="1">
      <c r="A110" s="491" t="s">
        <v>297</v>
      </c>
      <c r="B110" s="478"/>
      <c r="C110" s="492"/>
      <c r="D110" s="478"/>
      <c r="E110" s="492"/>
      <c r="F110" s="478"/>
      <c r="G110" s="492"/>
      <c r="H110" s="478"/>
      <c r="I110" s="492"/>
      <c r="J110" s="478"/>
      <c r="K110" s="492"/>
      <c r="L110" s="478"/>
      <c r="M110" s="493"/>
      <c r="N110" s="478">
        <f t="shared" si="15"/>
        <v>0</v>
      </c>
    </row>
    <row r="111" spans="1:14" s="198" customFormat="1">
      <c r="A111" s="491" t="s">
        <v>303</v>
      </c>
      <c r="B111" s="478"/>
      <c r="C111" s="492"/>
      <c r="D111" s="478"/>
      <c r="E111" s="492"/>
      <c r="F111" s="478"/>
      <c r="G111" s="492"/>
      <c r="H111" s="478"/>
      <c r="I111" s="492"/>
      <c r="J111" s="478"/>
      <c r="K111" s="492"/>
      <c r="L111" s="478"/>
      <c r="M111" s="493"/>
      <c r="N111" s="478">
        <f t="shared" si="15"/>
        <v>0</v>
      </c>
    </row>
    <row r="112" spans="1:14" s="198" customFormat="1">
      <c r="A112" s="491" t="s">
        <v>343</v>
      </c>
      <c r="B112" s="478"/>
      <c r="C112" s="492"/>
      <c r="D112" s="478"/>
      <c r="E112" s="492"/>
      <c r="F112" s="478"/>
      <c r="G112" s="492"/>
      <c r="H112" s="478"/>
      <c r="I112" s="492"/>
      <c r="J112" s="478"/>
      <c r="K112" s="492"/>
      <c r="L112" s="478"/>
      <c r="M112" s="493"/>
      <c r="N112" s="478">
        <f t="shared" si="15"/>
        <v>0</v>
      </c>
    </row>
    <row r="113" spans="1:14" s="198" customFormat="1">
      <c r="A113" s="491" t="s">
        <v>304</v>
      </c>
      <c r="B113" s="478"/>
      <c r="C113" s="492"/>
      <c r="D113" s="478"/>
      <c r="E113" s="492"/>
      <c r="F113" s="478"/>
      <c r="G113" s="492"/>
      <c r="H113" s="478"/>
      <c r="I113" s="492"/>
      <c r="J113" s="478"/>
      <c r="K113" s="492"/>
      <c r="L113" s="478"/>
      <c r="M113" s="493"/>
      <c r="N113" s="478">
        <f t="shared" si="15"/>
        <v>0</v>
      </c>
    </row>
    <row r="114" spans="1:14" s="198" customFormat="1">
      <c r="A114" s="491" t="s">
        <v>305</v>
      </c>
      <c r="B114" s="478"/>
      <c r="C114" s="492"/>
      <c r="D114" s="478"/>
      <c r="E114" s="492"/>
      <c r="F114" s="478"/>
      <c r="G114" s="492"/>
      <c r="H114" s="478"/>
      <c r="I114" s="492"/>
      <c r="J114" s="478"/>
      <c r="K114" s="492"/>
      <c r="L114" s="478"/>
      <c r="M114" s="493"/>
      <c r="N114" s="478">
        <f t="shared" si="15"/>
        <v>0</v>
      </c>
    </row>
    <row r="115" spans="1:14" s="198" customFormat="1">
      <c r="A115" s="491" t="s">
        <v>296</v>
      </c>
      <c r="B115" s="478"/>
      <c r="C115" s="492"/>
      <c r="D115" s="478"/>
      <c r="E115" s="492"/>
      <c r="F115" s="478"/>
      <c r="G115" s="492"/>
      <c r="H115" s="478"/>
      <c r="I115" s="492"/>
      <c r="J115" s="478"/>
      <c r="K115" s="492"/>
      <c r="L115" s="478"/>
      <c r="M115" s="493"/>
      <c r="N115" s="478">
        <f t="shared" si="15"/>
        <v>0</v>
      </c>
    </row>
    <row r="116" spans="1:14" s="198" customFormat="1">
      <c r="A116" s="491" t="s">
        <v>517</v>
      </c>
      <c r="B116" s="478">
        <v>1500438.32</v>
      </c>
      <c r="C116" s="492">
        <v>0</v>
      </c>
      <c r="D116" s="478">
        <v>0</v>
      </c>
      <c r="E116" s="492">
        <v>0</v>
      </c>
      <c r="F116" s="478">
        <v>0</v>
      </c>
      <c r="G116" s="498">
        <v>0</v>
      </c>
      <c r="H116" s="478">
        <v>0</v>
      </c>
      <c r="I116" s="492">
        <v>0</v>
      </c>
      <c r="J116" s="478">
        <v>0</v>
      </c>
      <c r="K116" s="492">
        <v>0</v>
      </c>
      <c r="L116" s="478">
        <v>511032.75</v>
      </c>
      <c r="M116" s="493">
        <f>-2011471.07+1500438.32</f>
        <v>-511032.75</v>
      </c>
      <c r="N116" s="478">
        <f t="shared" si="15"/>
        <v>1500438.32</v>
      </c>
    </row>
    <row r="117" spans="1:14" s="198" customFormat="1">
      <c r="A117" s="491" t="s">
        <v>575</v>
      </c>
      <c r="B117" s="478">
        <v>28991.38</v>
      </c>
      <c r="C117" s="492">
        <v>5364550.09</v>
      </c>
      <c r="D117" s="478">
        <v>0</v>
      </c>
      <c r="E117" s="492">
        <v>0</v>
      </c>
      <c r="F117" s="478">
        <v>0</v>
      </c>
      <c r="G117" s="498">
        <v>0</v>
      </c>
      <c r="H117" s="478">
        <v>0</v>
      </c>
      <c r="I117" s="492">
        <v>0</v>
      </c>
      <c r="J117" s="478">
        <v>0</v>
      </c>
      <c r="K117" s="492">
        <v>0</v>
      </c>
      <c r="L117" s="478">
        <v>356683.25</v>
      </c>
      <c r="M117" s="493">
        <f>-5750224.72+5481959.38</f>
        <v>-268265.33999999985</v>
      </c>
      <c r="N117" s="478">
        <f t="shared" si="15"/>
        <v>5481959.3799999999</v>
      </c>
    </row>
    <row r="118" spans="1:14" s="198" customFormat="1">
      <c r="A118" s="491" t="s">
        <v>356</v>
      </c>
      <c r="B118" s="478"/>
      <c r="C118" s="492"/>
      <c r="D118" s="478"/>
      <c r="E118" s="492"/>
      <c r="F118" s="478"/>
      <c r="G118" s="492"/>
      <c r="H118" s="478"/>
      <c r="I118" s="492"/>
      <c r="J118" s="478"/>
      <c r="K118" s="492"/>
      <c r="L118" s="478"/>
      <c r="M118" s="493">
        <v>903909.72</v>
      </c>
      <c r="N118" s="478">
        <f t="shared" si="15"/>
        <v>903909.72</v>
      </c>
    </row>
    <row r="119" spans="1:14" s="198" customFormat="1">
      <c r="A119" s="491" t="s">
        <v>357</v>
      </c>
      <c r="B119" s="478">
        <v>438000</v>
      </c>
      <c r="C119" s="492">
        <v>412600</v>
      </c>
      <c r="D119" s="478">
        <v>2413200</v>
      </c>
      <c r="E119" s="492">
        <v>2833000</v>
      </c>
      <c r="F119" s="478">
        <v>2024000</v>
      </c>
      <c r="G119" s="492">
        <v>603000</v>
      </c>
      <c r="H119" s="478">
        <v>462000</v>
      </c>
      <c r="I119" s="492">
        <v>488000</v>
      </c>
      <c r="J119" s="478">
        <v>2327600</v>
      </c>
      <c r="K119" s="492">
        <v>2457600</v>
      </c>
      <c r="L119" s="478">
        <v>1613800</v>
      </c>
      <c r="M119" s="493">
        <f>-16072800+23844373.28</f>
        <v>7771573.2800000012</v>
      </c>
      <c r="N119" s="478">
        <f t="shared" si="15"/>
        <v>23844373.280000001</v>
      </c>
    </row>
    <row r="120" spans="1:14" s="198" customFormat="1">
      <c r="A120" s="491" t="s">
        <v>437</v>
      </c>
      <c r="B120" s="478"/>
      <c r="C120" s="492"/>
      <c r="D120" s="478"/>
      <c r="E120" s="492"/>
      <c r="F120" s="478"/>
      <c r="G120" s="492"/>
      <c r="H120" s="478"/>
      <c r="I120" s="492"/>
      <c r="J120" s="478"/>
      <c r="K120" s="492"/>
      <c r="L120" s="478"/>
      <c r="M120" s="493"/>
      <c r="N120" s="478">
        <f>SUM(B120:M120)</f>
        <v>0</v>
      </c>
    </row>
    <row r="121" spans="1:14" s="198" customFormat="1">
      <c r="A121" s="491" t="s">
        <v>518</v>
      </c>
      <c r="B121" s="478"/>
      <c r="C121" s="492"/>
      <c r="D121" s="478"/>
      <c r="E121" s="492"/>
      <c r="F121" s="478"/>
      <c r="G121" s="492"/>
      <c r="H121" s="478"/>
      <c r="I121" s="492"/>
      <c r="J121" s="478"/>
      <c r="K121" s="492"/>
      <c r="L121" s="478">
        <v>454928.56</v>
      </c>
      <c r="M121" s="493">
        <f>-454928.56+2520510.86</f>
        <v>2065582.2999999998</v>
      </c>
      <c r="N121" s="478">
        <f>SUM(B121:M121)</f>
        <v>2520510.86</v>
      </c>
    </row>
    <row r="122" spans="1:14" s="198" customFormat="1">
      <c r="A122" s="491" t="s">
        <v>576</v>
      </c>
      <c r="B122" s="478">
        <v>3361666.65</v>
      </c>
      <c r="C122" s="492">
        <v>3466871.69</v>
      </c>
      <c r="D122" s="478">
        <v>6817104.8099999996</v>
      </c>
      <c r="E122" s="492">
        <v>0</v>
      </c>
      <c r="F122" s="478">
        <v>0</v>
      </c>
      <c r="G122" s="492">
        <v>0</v>
      </c>
      <c r="H122" s="478">
        <v>0</v>
      </c>
      <c r="I122" s="492">
        <v>0</v>
      </c>
      <c r="J122" s="478">
        <v>0</v>
      </c>
      <c r="K122" s="492">
        <v>0</v>
      </c>
      <c r="L122" s="478">
        <v>1778867.68</v>
      </c>
      <c r="M122" s="493">
        <f>-15424510.83+16782683.27</f>
        <v>1358172.4399999995</v>
      </c>
      <c r="N122" s="478">
        <f t="shared" si="15"/>
        <v>16782683.269999996</v>
      </c>
    </row>
    <row r="123" spans="1:14" s="198" customFormat="1">
      <c r="A123" s="491" t="s">
        <v>448</v>
      </c>
      <c r="B123" s="478"/>
      <c r="C123" s="492"/>
      <c r="D123" s="478"/>
      <c r="E123" s="492"/>
      <c r="F123" s="478"/>
      <c r="G123" s="492"/>
      <c r="H123" s="478"/>
      <c r="I123" s="492"/>
      <c r="J123" s="478"/>
      <c r="K123" s="492"/>
      <c r="L123" s="478"/>
      <c r="M123" s="493"/>
      <c r="N123" s="478">
        <f t="shared" si="15"/>
        <v>0</v>
      </c>
    </row>
    <row r="124" spans="1:14" s="198" customFormat="1">
      <c r="A124" s="491" t="s">
        <v>519</v>
      </c>
      <c r="B124" s="478">
        <v>176590.46</v>
      </c>
      <c r="C124" s="492">
        <v>0</v>
      </c>
      <c r="D124" s="478">
        <v>0</v>
      </c>
      <c r="E124" s="492">
        <v>0</v>
      </c>
      <c r="F124" s="478">
        <v>0</v>
      </c>
      <c r="G124" s="492">
        <v>0</v>
      </c>
      <c r="H124" s="478">
        <v>0</v>
      </c>
      <c r="I124" s="492">
        <v>0</v>
      </c>
      <c r="J124" s="478">
        <v>0</v>
      </c>
      <c r="K124" s="492">
        <v>0</v>
      </c>
      <c r="L124" s="478">
        <v>176590.46</v>
      </c>
      <c r="M124" s="493">
        <f>-353180.92+176590.46</f>
        <v>-176590.46</v>
      </c>
      <c r="N124" s="478">
        <f t="shared" si="15"/>
        <v>176590.46</v>
      </c>
    </row>
    <row r="125" spans="1:14" s="198" customFormat="1">
      <c r="A125" s="491" t="s">
        <v>577</v>
      </c>
      <c r="B125" s="478">
        <v>3709191.43</v>
      </c>
      <c r="C125" s="492">
        <v>3000000</v>
      </c>
      <c r="D125" s="478">
        <v>3000000</v>
      </c>
      <c r="E125" s="492">
        <v>0</v>
      </c>
      <c r="F125" s="478">
        <v>0</v>
      </c>
      <c r="G125" s="492">
        <v>0</v>
      </c>
      <c r="H125" s="478">
        <v>0</v>
      </c>
      <c r="I125" s="492">
        <v>0</v>
      </c>
      <c r="J125" s="478">
        <v>0</v>
      </c>
      <c r="K125" s="492">
        <v>0</v>
      </c>
      <c r="L125" s="478">
        <v>837090.65</v>
      </c>
      <c r="M125" s="493">
        <f>-10546282.08+9709191.42</f>
        <v>-837090.66000000015</v>
      </c>
      <c r="N125" s="478">
        <f t="shared" si="15"/>
        <v>9709191.4199999999</v>
      </c>
    </row>
    <row r="126" spans="1:14" s="198" customFormat="1">
      <c r="A126" s="491" t="s">
        <v>449</v>
      </c>
      <c r="B126" s="478">
        <v>540000</v>
      </c>
      <c r="C126" s="492">
        <v>500000</v>
      </c>
      <c r="D126" s="478">
        <v>500000</v>
      </c>
      <c r="E126" s="492">
        <v>280000</v>
      </c>
      <c r="F126" s="478">
        <v>0</v>
      </c>
      <c r="G126" s="492">
        <v>0</v>
      </c>
      <c r="H126" s="478">
        <v>0</v>
      </c>
      <c r="I126" s="492">
        <v>0</v>
      </c>
      <c r="J126" s="478">
        <v>0</v>
      </c>
      <c r="K126" s="492">
        <v>0</v>
      </c>
      <c r="L126" s="478">
        <v>0</v>
      </c>
      <c r="M126" s="493">
        <v>-1820000</v>
      </c>
      <c r="N126" s="478">
        <f t="shared" si="15"/>
        <v>0</v>
      </c>
    </row>
    <row r="127" spans="1:14" s="198" customFormat="1">
      <c r="A127" s="491" t="s">
        <v>520</v>
      </c>
      <c r="B127" s="478"/>
      <c r="C127" s="492"/>
      <c r="D127" s="478"/>
      <c r="E127" s="492"/>
      <c r="F127" s="478"/>
      <c r="G127" s="492"/>
      <c r="H127" s="478"/>
      <c r="I127" s="492"/>
      <c r="J127" s="478"/>
      <c r="K127" s="492"/>
      <c r="L127" s="478"/>
      <c r="M127" s="493"/>
      <c r="N127" s="478">
        <f t="shared" si="15"/>
        <v>0</v>
      </c>
    </row>
    <row r="128" spans="1:14" s="198" customFormat="1">
      <c r="A128" s="491" t="s">
        <v>578</v>
      </c>
      <c r="B128" s="478"/>
      <c r="C128" s="492"/>
      <c r="D128" s="478"/>
      <c r="E128" s="492"/>
      <c r="F128" s="478"/>
      <c r="G128" s="492"/>
      <c r="H128" s="478"/>
      <c r="I128" s="492"/>
      <c r="J128" s="478"/>
      <c r="K128" s="492"/>
      <c r="L128" s="478"/>
      <c r="M128" s="493"/>
      <c r="N128" s="478">
        <f t="shared" si="15"/>
        <v>0</v>
      </c>
    </row>
    <row r="129" spans="1:14" s="198" customFormat="1">
      <c r="A129" s="494" t="s">
        <v>1159</v>
      </c>
      <c r="B129" s="478"/>
      <c r="C129" s="492"/>
      <c r="D129" s="478"/>
      <c r="E129" s="492"/>
      <c r="F129" s="478"/>
      <c r="G129" s="492"/>
      <c r="H129" s="478"/>
      <c r="I129" s="492"/>
      <c r="J129" s="478"/>
      <c r="K129" s="492"/>
      <c r="L129" s="478">
        <v>5348960.32</v>
      </c>
      <c r="M129" s="493">
        <f>-5348960.32+17520965.7</f>
        <v>12172005.379999999</v>
      </c>
      <c r="N129" s="478">
        <f t="shared" si="15"/>
        <v>17520965.699999999</v>
      </c>
    </row>
    <row r="130" spans="1:14" s="198" customFormat="1">
      <c r="A130" s="491" t="s">
        <v>450</v>
      </c>
      <c r="B130" s="478"/>
      <c r="C130" s="492"/>
      <c r="D130" s="478"/>
      <c r="E130" s="492"/>
      <c r="F130" s="478"/>
      <c r="G130" s="492"/>
      <c r="H130" s="478"/>
      <c r="I130" s="492"/>
      <c r="J130" s="478"/>
      <c r="K130" s="492"/>
      <c r="L130" s="478"/>
      <c r="M130" s="493"/>
      <c r="N130" s="478">
        <f t="shared" si="15"/>
        <v>0</v>
      </c>
    </row>
    <row r="131" spans="1:14" s="198" customFormat="1">
      <c r="A131" s="491" t="s">
        <v>460</v>
      </c>
      <c r="B131" s="478"/>
      <c r="C131" s="492"/>
      <c r="D131" s="478"/>
      <c r="E131" s="492"/>
      <c r="F131" s="478"/>
      <c r="G131" s="492"/>
      <c r="H131" s="478"/>
      <c r="I131" s="492"/>
      <c r="J131" s="478"/>
      <c r="K131" s="492"/>
      <c r="L131" s="478"/>
      <c r="M131" s="493"/>
      <c r="N131" s="478">
        <f t="shared" si="15"/>
        <v>0</v>
      </c>
    </row>
    <row r="132" spans="1:14" s="198" customFormat="1">
      <c r="A132" s="491" t="s">
        <v>521</v>
      </c>
      <c r="B132" s="478">
        <v>764196.2</v>
      </c>
      <c r="C132" s="492">
        <v>0</v>
      </c>
      <c r="D132" s="478">
        <v>0</v>
      </c>
      <c r="E132" s="492">
        <v>0</v>
      </c>
      <c r="F132" s="478">
        <v>0</v>
      </c>
      <c r="G132" s="492">
        <v>0</v>
      </c>
      <c r="H132" s="478">
        <v>0</v>
      </c>
      <c r="I132" s="492">
        <v>0</v>
      </c>
      <c r="J132" s="478">
        <v>0</v>
      </c>
      <c r="K132" s="492">
        <v>0</v>
      </c>
      <c r="L132" s="478">
        <v>0</v>
      </c>
      <c r="M132" s="493">
        <v>0</v>
      </c>
      <c r="N132" s="478">
        <f t="shared" si="15"/>
        <v>764196.2</v>
      </c>
    </row>
    <row r="133" spans="1:14" s="198" customFormat="1">
      <c r="A133" s="491" t="s">
        <v>605</v>
      </c>
      <c r="B133" s="478">
        <v>2262389.19</v>
      </c>
      <c r="C133" s="492">
        <v>1847633.48</v>
      </c>
      <c r="D133" s="478">
        <v>1500000</v>
      </c>
      <c r="E133" s="492">
        <v>0</v>
      </c>
      <c r="F133" s="478">
        <v>0</v>
      </c>
      <c r="G133" s="492">
        <v>0</v>
      </c>
      <c r="H133" s="478">
        <v>0</v>
      </c>
      <c r="I133" s="492">
        <v>0</v>
      </c>
      <c r="J133" s="478">
        <v>0</v>
      </c>
      <c r="K133" s="492">
        <v>0</v>
      </c>
      <c r="L133" s="478">
        <v>242600.65</v>
      </c>
      <c r="M133" s="493">
        <f>-5852623.32+6607203.05</f>
        <v>754579.72999999952</v>
      </c>
      <c r="N133" s="478">
        <f t="shared" si="15"/>
        <v>6607203.0499999998</v>
      </c>
    </row>
    <row r="134" spans="1:14" s="198" customFormat="1">
      <c r="A134" s="494" t="s">
        <v>1164</v>
      </c>
      <c r="B134" s="478"/>
      <c r="C134" s="492"/>
      <c r="D134" s="478"/>
      <c r="E134" s="492"/>
      <c r="F134" s="478"/>
      <c r="G134" s="492"/>
      <c r="H134" s="478"/>
      <c r="I134" s="492"/>
      <c r="J134" s="478"/>
      <c r="K134" s="492"/>
      <c r="L134" s="478">
        <v>5107271.2699999996</v>
      </c>
      <c r="M134" s="493">
        <f>-5107271.27+10333443.87</f>
        <v>5226172.5999999996</v>
      </c>
      <c r="N134" s="478">
        <f t="shared" si="15"/>
        <v>10333443.869999999</v>
      </c>
    </row>
    <row r="135" spans="1:14" s="198" customFormat="1">
      <c r="A135" s="491" t="s">
        <v>533</v>
      </c>
      <c r="B135" s="478"/>
      <c r="C135" s="492"/>
      <c r="D135" s="478"/>
      <c r="E135" s="492"/>
      <c r="F135" s="478"/>
      <c r="G135" s="492"/>
      <c r="H135" s="478"/>
      <c r="I135" s="492"/>
      <c r="J135" s="478"/>
      <c r="K135" s="492"/>
      <c r="L135" s="478"/>
      <c r="M135" s="493"/>
      <c r="N135" s="478">
        <f t="shared" si="15"/>
        <v>0</v>
      </c>
    </row>
    <row r="136" spans="1:14" s="198" customFormat="1">
      <c r="A136" s="491" t="s">
        <v>474</v>
      </c>
      <c r="B136" s="478"/>
      <c r="C136" s="492"/>
      <c r="D136" s="478"/>
      <c r="E136" s="492"/>
      <c r="F136" s="478"/>
      <c r="G136" s="492"/>
      <c r="H136" s="478"/>
      <c r="I136" s="492"/>
      <c r="J136" s="478"/>
      <c r="K136" s="492"/>
      <c r="L136" s="478">
        <v>2891232.85</v>
      </c>
      <c r="M136" s="493">
        <f>-2891232.85+8708280.68</f>
        <v>5817047.8300000001</v>
      </c>
      <c r="N136" s="478">
        <f t="shared" si="15"/>
        <v>8708280.6799999997</v>
      </c>
    </row>
    <row r="137" spans="1:14" s="198" customFormat="1">
      <c r="A137" s="491" t="s">
        <v>574</v>
      </c>
      <c r="B137" s="478"/>
      <c r="C137" s="492"/>
      <c r="D137" s="478"/>
      <c r="E137" s="492"/>
      <c r="F137" s="478"/>
      <c r="G137" s="492"/>
      <c r="H137" s="478"/>
      <c r="I137" s="492"/>
      <c r="J137" s="478"/>
      <c r="K137" s="492"/>
      <c r="L137" s="478"/>
      <c r="M137" s="493"/>
      <c r="N137" s="478">
        <f t="shared" si="15"/>
        <v>0</v>
      </c>
    </row>
    <row r="138" spans="1:14" s="198" customFormat="1">
      <c r="A138" s="494" t="s">
        <v>1169</v>
      </c>
      <c r="B138" s="478"/>
      <c r="C138" s="492"/>
      <c r="D138" s="478"/>
      <c r="E138" s="492"/>
      <c r="F138" s="478"/>
      <c r="G138" s="492"/>
      <c r="H138" s="478"/>
      <c r="I138" s="492"/>
      <c r="J138" s="478"/>
      <c r="K138" s="492"/>
      <c r="L138" s="478">
        <v>1399889.35</v>
      </c>
      <c r="M138" s="493">
        <f>-1399889.35+5464490.29</f>
        <v>4064600.94</v>
      </c>
      <c r="N138" s="478">
        <f t="shared" si="15"/>
        <v>5464490.29</v>
      </c>
    </row>
    <row r="139" spans="1:14" s="198" customFormat="1">
      <c r="A139" s="491" t="s">
        <v>531</v>
      </c>
      <c r="B139" s="478">
        <v>4026184.24</v>
      </c>
      <c r="C139" s="492">
        <v>0</v>
      </c>
      <c r="D139" s="478">
        <v>0</v>
      </c>
      <c r="E139" s="492">
        <v>0</v>
      </c>
      <c r="F139" s="478">
        <v>0</v>
      </c>
      <c r="G139" s="492">
        <v>0</v>
      </c>
      <c r="H139" s="478">
        <v>0</v>
      </c>
      <c r="I139" s="492">
        <v>0</v>
      </c>
      <c r="J139" s="478">
        <v>0</v>
      </c>
      <c r="K139" s="492">
        <v>0</v>
      </c>
      <c r="L139" s="478">
        <v>2026184.24</v>
      </c>
      <c r="M139" s="493">
        <f>-6052368.48+4026184.24</f>
        <v>-2026184.2400000002</v>
      </c>
      <c r="N139" s="478">
        <f t="shared" si="15"/>
        <v>4026184.24</v>
      </c>
    </row>
    <row r="140" spans="1:14" s="198" customFormat="1">
      <c r="A140" s="491" t="s">
        <v>548</v>
      </c>
      <c r="B140" s="478">
        <v>29002.76</v>
      </c>
      <c r="C140" s="492">
        <v>0</v>
      </c>
      <c r="D140" s="478">
        <v>0</v>
      </c>
      <c r="E140" s="492">
        <v>0</v>
      </c>
      <c r="F140" s="478">
        <v>0</v>
      </c>
      <c r="G140" s="492">
        <v>0</v>
      </c>
      <c r="H140" s="478">
        <v>0</v>
      </c>
      <c r="I140" s="492">
        <v>0</v>
      </c>
      <c r="J140" s="478">
        <v>0</v>
      </c>
      <c r="K140" s="492">
        <v>0</v>
      </c>
      <c r="L140" s="478">
        <v>0</v>
      </c>
      <c r="M140" s="493">
        <v>-29002.76</v>
      </c>
      <c r="N140" s="478">
        <f t="shared" si="15"/>
        <v>0</v>
      </c>
    </row>
    <row r="141" spans="1:14" s="198" customFormat="1">
      <c r="A141" s="494" t="s">
        <v>1163</v>
      </c>
      <c r="B141" s="478"/>
      <c r="C141" s="492"/>
      <c r="D141" s="478"/>
      <c r="E141" s="492"/>
      <c r="F141" s="478"/>
      <c r="G141" s="492"/>
      <c r="H141" s="478"/>
      <c r="I141" s="492"/>
      <c r="J141" s="478"/>
      <c r="K141" s="492"/>
      <c r="L141" s="478">
        <v>21185120.300000001</v>
      </c>
      <c r="M141" s="493">
        <f>-21185120.3+68762118.23</f>
        <v>47576997.930000007</v>
      </c>
      <c r="N141" s="478">
        <f t="shared" si="15"/>
        <v>68762118.230000004</v>
      </c>
    </row>
    <row r="142" spans="1:14" s="198" customFormat="1">
      <c r="A142" s="491" t="s">
        <v>417</v>
      </c>
      <c r="B142" s="478"/>
      <c r="C142" s="492"/>
      <c r="D142" s="478"/>
      <c r="E142" s="492"/>
      <c r="F142" s="478"/>
      <c r="G142" s="492"/>
      <c r="H142" s="478"/>
      <c r="I142" s="492"/>
      <c r="J142" s="478"/>
      <c r="K142" s="492"/>
      <c r="L142" s="478"/>
      <c r="M142" s="493"/>
      <c r="N142" s="478">
        <f t="shared" si="15"/>
        <v>0</v>
      </c>
    </row>
    <row r="143" spans="1:14" s="198" customFormat="1">
      <c r="A143" s="491" t="s">
        <v>534</v>
      </c>
      <c r="B143" s="478"/>
      <c r="C143" s="492"/>
      <c r="D143" s="478"/>
      <c r="E143" s="492"/>
      <c r="F143" s="478"/>
      <c r="G143" s="492"/>
      <c r="H143" s="478"/>
      <c r="I143" s="492"/>
      <c r="J143" s="478"/>
      <c r="K143" s="492"/>
      <c r="L143" s="478"/>
      <c r="M143" s="493"/>
      <c r="N143" s="478">
        <f t="shared" si="15"/>
        <v>0</v>
      </c>
    </row>
    <row r="144" spans="1:14" s="198" customFormat="1">
      <c r="A144" s="491" t="s">
        <v>608</v>
      </c>
      <c r="B144" s="478">
        <v>742511.65</v>
      </c>
      <c r="C144" s="492">
        <v>1073672.01</v>
      </c>
      <c r="D144" s="478">
        <v>0</v>
      </c>
      <c r="E144" s="492">
        <v>0</v>
      </c>
      <c r="F144" s="478">
        <v>0</v>
      </c>
      <c r="G144" s="492">
        <v>0</v>
      </c>
      <c r="H144" s="478">
        <v>0</v>
      </c>
      <c r="I144" s="492">
        <v>0</v>
      </c>
      <c r="J144" s="478">
        <v>0</v>
      </c>
      <c r="K144" s="492">
        <v>0</v>
      </c>
      <c r="L144" s="478">
        <f>242768.06+1260926.2</f>
        <v>1503694.26</v>
      </c>
      <c r="M144" s="492">
        <f>-3319877.92+1133262.48+4575330</f>
        <v>2388714.56</v>
      </c>
      <c r="N144" s="478">
        <f t="shared" si="15"/>
        <v>5708592.4800000004</v>
      </c>
    </row>
    <row r="145" spans="1:14">
      <c r="A145" s="491" t="s">
        <v>579</v>
      </c>
      <c r="B145" s="478">
        <v>385272.94</v>
      </c>
      <c r="C145" s="498">
        <v>0</v>
      </c>
      <c r="D145" s="478">
        <v>0</v>
      </c>
      <c r="E145" s="498">
        <v>0</v>
      </c>
      <c r="F145" s="478">
        <v>0</v>
      </c>
      <c r="G145" s="498">
        <v>0</v>
      </c>
      <c r="H145" s="478">
        <v>0</v>
      </c>
      <c r="I145" s="498">
        <v>0</v>
      </c>
      <c r="J145" s="478">
        <v>0</v>
      </c>
      <c r="K145" s="498">
        <v>0</v>
      </c>
      <c r="L145" s="478">
        <v>0</v>
      </c>
      <c r="M145" s="499">
        <f>-385272.94+747378.03</f>
        <v>362105.09</v>
      </c>
      <c r="N145" s="478">
        <f t="shared" si="15"/>
        <v>747378.03</v>
      </c>
    </row>
    <row r="146" spans="1:14">
      <c r="A146" s="491" t="s">
        <v>599</v>
      </c>
      <c r="B146" s="478"/>
      <c r="C146" s="498"/>
      <c r="D146" s="478"/>
      <c r="E146" s="498"/>
      <c r="F146" s="478"/>
      <c r="G146" s="498"/>
      <c r="H146" s="478"/>
      <c r="I146" s="498"/>
      <c r="J146" s="478"/>
      <c r="K146" s="498"/>
      <c r="L146" s="478"/>
      <c r="M146" s="499"/>
      <c r="N146" s="478">
        <f t="shared" si="15"/>
        <v>0</v>
      </c>
    </row>
    <row r="147" spans="1:14">
      <c r="A147" s="500" t="s">
        <v>609</v>
      </c>
      <c r="B147" s="478">
        <v>3134799.31</v>
      </c>
      <c r="C147" s="498">
        <v>2455239.81</v>
      </c>
      <c r="D147" s="478">
        <v>1106197.33</v>
      </c>
      <c r="E147" s="498">
        <v>0</v>
      </c>
      <c r="F147" s="478">
        <v>0</v>
      </c>
      <c r="G147" s="498">
        <v>0</v>
      </c>
      <c r="H147" s="478">
        <v>0</v>
      </c>
      <c r="I147" s="498">
        <v>0</v>
      </c>
      <c r="J147" s="478">
        <v>0</v>
      </c>
      <c r="K147" s="498">
        <v>0</v>
      </c>
      <c r="L147" s="478">
        <v>0</v>
      </c>
      <c r="M147" s="499">
        <v>-6696236.4500000002</v>
      </c>
      <c r="N147" s="478">
        <f t="shared" si="15"/>
        <v>0</v>
      </c>
    </row>
    <row r="148" spans="1:14">
      <c r="A148" s="500" t="s">
        <v>610</v>
      </c>
      <c r="B148" s="478">
        <v>2500000</v>
      </c>
      <c r="C148" s="498">
        <v>2450007.29</v>
      </c>
      <c r="D148" s="478">
        <v>798354.29</v>
      </c>
      <c r="E148" s="498">
        <v>0</v>
      </c>
      <c r="F148" s="478">
        <v>0</v>
      </c>
      <c r="G148" s="498">
        <v>0</v>
      </c>
      <c r="H148" s="478">
        <v>0</v>
      </c>
      <c r="I148" s="498">
        <v>0</v>
      </c>
      <c r="J148" s="478">
        <v>0</v>
      </c>
      <c r="K148" s="498">
        <v>0</v>
      </c>
      <c r="L148" s="478">
        <v>0</v>
      </c>
      <c r="M148" s="499">
        <f>-5748361.58+8105845.29</f>
        <v>2357483.71</v>
      </c>
      <c r="N148" s="478">
        <f t="shared" si="15"/>
        <v>8105845.29</v>
      </c>
    </row>
    <row r="149" spans="1:14">
      <c r="A149" s="501" t="s">
        <v>611</v>
      </c>
      <c r="B149" s="478">
        <v>5000000</v>
      </c>
      <c r="C149" s="498">
        <v>5000000</v>
      </c>
      <c r="D149" s="478">
        <v>5000000</v>
      </c>
      <c r="E149" s="498">
        <v>4773183</v>
      </c>
      <c r="F149" s="478">
        <v>0</v>
      </c>
      <c r="G149" s="498">
        <v>0</v>
      </c>
      <c r="H149" s="478">
        <v>0</v>
      </c>
      <c r="I149" s="498">
        <v>0</v>
      </c>
      <c r="J149" s="478">
        <v>0</v>
      </c>
      <c r="K149" s="498">
        <v>0</v>
      </c>
      <c r="L149" s="478">
        <v>512226.76</v>
      </c>
      <c r="M149" s="499">
        <f>-20285409.76+23575024.4</f>
        <v>3289614.6399999969</v>
      </c>
      <c r="N149" s="478">
        <f t="shared" si="15"/>
        <v>23575024.399999999</v>
      </c>
    </row>
    <row r="150" spans="1:14">
      <c r="A150" s="502" t="s">
        <v>1160</v>
      </c>
      <c r="B150" s="478"/>
      <c r="C150" s="498"/>
      <c r="D150" s="478"/>
      <c r="E150" s="498"/>
      <c r="F150" s="478"/>
      <c r="G150" s="498"/>
      <c r="H150" s="478"/>
      <c r="I150" s="498"/>
      <c r="J150" s="478"/>
      <c r="K150" s="498"/>
      <c r="L150" s="478">
        <v>9556580.8000000007</v>
      </c>
      <c r="M150" s="499">
        <f>-9556580.8+41811018.96</f>
        <v>32254438.16</v>
      </c>
      <c r="N150" s="478">
        <f t="shared" si="15"/>
        <v>41811018.960000001</v>
      </c>
    </row>
    <row r="151" spans="1:14">
      <c r="A151" s="503" t="s">
        <v>1161</v>
      </c>
      <c r="B151" s="504"/>
      <c r="C151" s="498"/>
      <c r="D151" s="504"/>
      <c r="E151" s="498"/>
      <c r="F151" s="504"/>
      <c r="G151" s="498"/>
      <c r="H151" s="504"/>
      <c r="I151" s="498"/>
      <c r="J151" s="504"/>
      <c r="K151" s="498"/>
      <c r="L151" s="504">
        <v>1931278.14</v>
      </c>
      <c r="M151" s="499">
        <f>-1931278.14+7888045.41</f>
        <v>5956767.2700000005</v>
      </c>
      <c r="N151" s="478">
        <f t="shared" si="15"/>
        <v>7888045.4100000001</v>
      </c>
    </row>
    <row r="152" spans="1:14" ht="27.75" customHeight="1">
      <c r="A152" s="466" t="s">
        <v>38</v>
      </c>
      <c r="B152" s="520">
        <f t="shared" ref="B152:N152" si="16">SUM(B104+B98+B63+B49+B42+B38+B29+B20+B12+B7)</f>
        <v>150595238.63</v>
      </c>
      <c r="C152" s="520">
        <f t="shared" si="16"/>
        <v>121964366.27</v>
      </c>
      <c r="D152" s="520">
        <f t="shared" si="16"/>
        <v>123343040.55000001</v>
      </c>
      <c r="E152" s="520">
        <f t="shared" si="16"/>
        <v>85600207.359999999</v>
      </c>
      <c r="F152" s="520">
        <f t="shared" si="16"/>
        <v>78651924.359999999</v>
      </c>
      <c r="G152" s="520">
        <f t="shared" si="16"/>
        <v>75312708.359999999</v>
      </c>
      <c r="H152" s="520">
        <f t="shared" si="16"/>
        <v>78850300.859999999</v>
      </c>
      <c r="I152" s="520">
        <f t="shared" si="16"/>
        <v>82582842.75999999</v>
      </c>
      <c r="J152" s="520">
        <f t="shared" si="16"/>
        <v>83693188.359999999</v>
      </c>
      <c r="K152" s="520">
        <f t="shared" si="16"/>
        <v>77215934.359999999</v>
      </c>
      <c r="L152" s="520">
        <f t="shared" si="16"/>
        <v>175457901.38999999</v>
      </c>
      <c r="M152" s="520">
        <f t="shared" si="16"/>
        <v>306380330.18999994</v>
      </c>
      <c r="N152" s="520">
        <f t="shared" si="16"/>
        <v>1439647983.4499998</v>
      </c>
    </row>
    <row r="154" spans="1:14">
      <c r="A154" s="198"/>
      <c r="F154" s="199"/>
      <c r="G154" s="199"/>
      <c r="J154" s="199"/>
    </row>
    <row r="155" spans="1:14">
      <c r="A155" s="202"/>
      <c r="B155" s="203"/>
      <c r="C155" s="203"/>
      <c r="G155" s="199"/>
      <c r="N155" s="199"/>
    </row>
    <row r="156" spans="1:14">
      <c r="A156" s="204"/>
      <c r="B156" s="203"/>
      <c r="C156" s="203"/>
      <c r="L156" s="199"/>
      <c r="N156" s="199"/>
    </row>
    <row r="157" spans="1:14">
      <c r="A157" s="204"/>
      <c r="B157" s="203"/>
      <c r="C157" s="203"/>
    </row>
    <row r="158" spans="1:14">
      <c r="A158" s="204"/>
      <c r="B158" s="203"/>
      <c r="C158" s="203"/>
    </row>
    <row r="159" spans="1:14">
      <c r="A159" s="204"/>
      <c r="B159" s="203"/>
      <c r="C159" s="203"/>
    </row>
    <row r="160" spans="1:14">
      <c r="A160" s="204"/>
      <c r="B160" s="203"/>
      <c r="C160" s="203"/>
    </row>
    <row r="161" spans="1:3">
      <c r="A161" s="204"/>
      <c r="B161" s="203"/>
      <c r="C161" s="203"/>
    </row>
    <row r="162" spans="1:3">
      <c r="A162" s="204"/>
      <c r="B162" s="203"/>
      <c r="C162" s="205"/>
    </row>
    <row r="163" spans="1:3">
      <c r="A163" s="204"/>
      <c r="B163" s="203"/>
      <c r="C163" s="205"/>
    </row>
    <row r="164" spans="1:3">
      <c r="A164" s="204"/>
      <c r="B164" s="203"/>
      <c r="C164" s="205"/>
    </row>
    <row r="165" spans="1:3">
      <c r="A165" s="204"/>
      <c r="B165" s="205"/>
      <c r="C165" s="205"/>
    </row>
    <row r="166" spans="1:3">
      <c r="A166" s="204"/>
      <c r="B166" s="203"/>
      <c r="C166" s="205"/>
    </row>
    <row r="167" spans="1:3">
      <c r="A167" s="206"/>
      <c r="B167" s="207"/>
      <c r="C167" s="207"/>
    </row>
    <row r="168" spans="1:3">
      <c r="A168" s="208"/>
      <c r="B168" s="207"/>
      <c r="C168" s="207"/>
    </row>
    <row r="169" spans="1:3">
      <c r="A169" s="204"/>
      <c r="B169" s="207"/>
      <c r="C169" s="207"/>
    </row>
    <row r="170" spans="1:3">
      <c r="A170" s="204"/>
      <c r="B170" s="176"/>
      <c r="C170" s="176"/>
    </row>
    <row r="171" spans="1:3">
      <c r="A171" s="204"/>
      <c r="B171" s="176"/>
      <c r="C171" s="176"/>
    </row>
  </sheetData>
  <mergeCells count="3">
    <mergeCell ref="A2:N2"/>
    <mergeCell ref="A3:N3"/>
    <mergeCell ref="A1:N1"/>
  </mergeCells>
  <phoneticPr fontId="7" type="noConversion"/>
  <printOptions horizontalCentered="1"/>
  <pageMargins left="0.35433070866141736" right="0.19685039370078741" top="0.19685039370078741" bottom="0.15748031496062992" header="0" footer="0.15748031496062992"/>
  <pageSetup paperSize="8" scale="75" firstPageNumber="23" orientation="landscape" useFirstPageNumber="1" r:id="rId1"/>
  <headerFooter alignWithMargins="0"/>
  <rowBreaks count="1" manualBreakCount="1">
    <brk id="77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173"/>
  <sheetViews>
    <sheetView view="pageBreakPreview" topLeftCell="B121" zoomScale="60" zoomScaleNormal="75" workbookViewId="0">
      <selection activeCell="B154" sqref="B154:N154"/>
    </sheetView>
  </sheetViews>
  <sheetFormatPr baseColWidth="10" defaultColWidth="60.140625" defaultRowHeight="12.75"/>
  <cols>
    <col min="1" max="1" width="53.42578125" style="163" customWidth="1"/>
    <col min="2" max="4" width="14.85546875" style="218" bestFit="1" customWidth="1"/>
    <col min="5" max="5" width="14.42578125" style="218" customWidth="1"/>
    <col min="6" max="6" width="15.5703125" style="218" bestFit="1" customWidth="1"/>
    <col min="7" max="7" width="14.85546875" style="218" bestFit="1" customWidth="1"/>
    <col min="8" max="9" width="15.140625" style="218" bestFit="1" customWidth="1"/>
    <col min="10" max="10" width="14.85546875" style="218" bestFit="1" customWidth="1"/>
    <col min="11" max="12" width="15.5703125" style="218" bestFit="1" customWidth="1"/>
    <col min="13" max="13" width="17.28515625" style="218" bestFit="1" customWidth="1"/>
    <col min="14" max="14" width="17.140625" style="218" bestFit="1" customWidth="1"/>
  </cols>
  <sheetData>
    <row r="1" spans="1:14" ht="15.75">
      <c r="A1" s="336" t="s">
        <v>366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14">
      <c r="A2" s="335" t="s">
        <v>1131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</row>
    <row r="3" spans="1:14">
      <c r="A3" s="335" t="s">
        <v>210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</row>
    <row r="4" spans="1:14" ht="13.5" thickBot="1">
      <c r="L4" s="217"/>
    </row>
    <row r="5" spans="1:14" ht="27.75" customHeight="1" thickBot="1">
      <c r="A5" s="189" t="s">
        <v>0</v>
      </c>
      <c r="B5" s="541" t="s">
        <v>6</v>
      </c>
      <c r="C5" s="541" t="s">
        <v>7</v>
      </c>
      <c r="D5" s="541" t="s">
        <v>8</v>
      </c>
      <c r="E5" s="541" t="s">
        <v>9</v>
      </c>
      <c r="F5" s="541" t="s">
        <v>10</v>
      </c>
      <c r="G5" s="541" t="s">
        <v>11</v>
      </c>
      <c r="H5" s="541" t="s">
        <v>12</v>
      </c>
      <c r="I5" s="541" t="s">
        <v>13</v>
      </c>
      <c r="J5" s="541" t="s">
        <v>16</v>
      </c>
      <c r="K5" s="541" t="s">
        <v>14</v>
      </c>
      <c r="L5" s="541" t="s">
        <v>17</v>
      </c>
      <c r="M5" s="541" t="s">
        <v>15</v>
      </c>
      <c r="N5" s="541" t="s">
        <v>79</v>
      </c>
    </row>
    <row r="7" spans="1:14">
      <c r="A7" s="190" t="s">
        <v>101</v>
      </c>
      <c r="B7" s="521">
        <f>SUM(B8:B10)</f>
        <v>23967709.780000001</v>
      </c>
      <c r="C7" s="521">
        <f t="shared" ref="C7:M7" si="0">SUM(C8:C10)</f>
        <v>25048304.129999999</v>
      </c>
      <c r="D7" s="521">
        <f t="shared" si="0"/>
        <v>27622414.239999998</v>
      </c>
      <c r="E7" s="521">
        <f t="shared" si="0"/>
        <v>29031215.390000001</v>
      </c>
      <c r="F7" s="522">
        <f t="shared" si="0"/>
        <v>28426064.82</v>
      </c>
      <c r="G7" s="521">
        <f t="shared" si="0"/>
        <v>28518172.759999998</v>
      </c>
      <c r="H7" s="523">
        <f t="shared" si="0"/>
        <v>27843016.200000003</v>
      </c>
      <c r="I7" s="521">
        <f t="shared" si="0"/>
        <v>26749297.490000002</v>
      </c>
      <c r="J7" s="524">
        <f t="shared" si="0"/>
        <v>25199719.230000004</v>
      </c>
      <c r="K7" s="524">
        <f t="shared" si="0"/>
        <v>26281171.990000002</v>
      </c>
      <c r="L7" s="521">
        <f t="shared" si="0"/>
        <v>23856649.27</v>
      </c>
      <c r="M7" s="521">
        <f t="shared" si="0"/>
        <v>57975475.019999996</v>
      </c>
      <c r="N7" s="521">
        <f>SUM(N8:N10)</f>
        <v>350519210.32000005</v>
      </c>
    </row>
    <row r="8" spans="1:14">
      <c r="A8" s="191" t="s">
        <v>54</v>
      </c>
      <c r="B8" s="525">
        <v>16533196</v>
      </c>
      <c r="C8" s="525">
        <v>15301223.74</v>
      </c>
      <c r="D8" s="525">
        <v>17342612</v>
      </c>
      <c r="E8" s="525">
        <v>20282884</v>
      </c>
      <c r="F8" s="526">
        <v>17550846</v>
      </c>
      <c r="G8" s="525">
        <v>16734529</v>
      </c>
      <c r="H8" s="221">
        <v>17319463</v>
      </c>
      <c r="I8" s="525">
        <v>17877687</v>
      </c>
      <c r="J8" s="527">
        <v>16885320</v>
      </c>
      <c r="K8" s="525">
        <v>17448261</v>
      </c>
      <c r="L8" s="525">
        <v>17175186</v>
      </c>
      <c r="M8" s="525">
        <v>48073050</v>
      </c>
      <c r="N8" s="525">
        <f>SUM(B8:M8)</f>
        <v>238524257.74000001</v>
      </c>
    </row>
    <row r="9" spans="1:14">
      <c r="A9" s="191" t="s">
        <v>56</v>
      </c>
      <c r="B9" s="525">
        <v>4881274.9800000004</v>
      </c>
      <c r="C9" s="525">
        <v>4871423.8899999997</v>
      </c>
      <c r="D9" s="525">
        <v>4426406.68</v>
      </c>
      <c r="E9" s="525">
        <v>4507355.97</v>
      </c>
      <c r="F9" s="526">
        <v>5503419.0199999996</v>
      </c>
      <c r="G9" s="525">
        <v>5554643.5899999999</v>
      </c>
      <c r="H9" s="221">
        <v>4684228.53</v>
      </c>
      <c r="I9" s="525">
        <v>4687757.42</v>
      </c>
      <c r="J9" s="527">
        <v>4688350.99</v>
      </c>
      <c r="K9" s="525">
        <v>5055553.99</v>
      </c>
      <c r="L9" s="525">
        <v>3993506.64</v>
      </c>
      <c r="M9" s="525">
        <v>5098547.54</v>
      </c>
      <c r="N9" s="525">
        <f>SUM(B9:M9)</f>
        <v>57952469.240000002</v>
      </c>
    </row>
    <row r="10" spans="1:14">
      <c r="A10" s="191" t="s">
        <v>55</v>
      </c>
      <c r="B10" s="525">
        <v>2553238.7999999998</v>
      </c>
      <c r="C10" s="525">
        <v>4875656.5</v>
      </c>
      <c r="D10" s="525">
        <v>5853395.5599999996</v>
      </c>
      <c r="E10" s="525">
        <v>4240975.42</v>
      </c>
      <c r="F10" s="526">
        <v>5371799.7999999998</v>
      </c>
      <c r="G10" s="525">
        <v>6229000.1699999999</v>
      </c>
      <c r="H10" s="221">
        <v>5839324.6699999999</v>
      </c>
      <c r="I10" s="525">
        <v>4183853.07</v>
      </c>
      <c r="J10" s="527">
        <v>3626048.24</v>
      </c>
      <c r="K10" s="525">
        <v>3777357</v>
      </c>
      <c r="L10" s="525">
        <v>2687956.63</v>
      </c>
      <c r="M10" s="525">
        <v>4803877.4800000004</v>
      </c>
      <c r="N10" s="525">
        <f>SUM(B10:M10)</f>
        <v>54042483.340000004</v>
      </c>
    </row>
    <row r="11" spans="1:14">
      <c r="A11" s="186"/>
      <c r="B11" s="525"/>
      <c r="C11" s="525"/>
      <c r="D11" s="525"/>
      <c r="E11" s="525"/>
      <c r="F11" s="526"/>
      <c r="G11" s="525"/>
      <c r="H11" s="221"/>
      <c r="I11" s="525"/>
      <c r="J11" s="527"/>
      <c r="K11" s="525"/>
      <c r="L11" s="525"/>
      <c r="M11" s="525"/>
      <c r="N11" s="525"/>
    </row>
    <row r="12" spans="1:14">
      <c r="A12" s="192" t="s">
        <v>49</v>
      </c>
      <c r="B12" s="528">
        <f>SUM(B13:B18)</f>
        <v>9268163.8199999984</v>
      </c>
      <c r="C12" s="528">
        <f t="shared" ref="C12:M12" si="1">SUM(C13:C18)</f>
        <v>10098320</v>
      </c>
      <c r="D12" s="528">
        <f t="shared" si="1"/>
        <v>9775445.8300000001</v>
      </c>
      <c r="E12" s="528">
        <f t="shared" si="1"/>
        <v>7926214.7000000011</v>
      </c>
      <c r="F12" s="529">
        <f t="shared" si="1"/>
        <v>10070427.280000001</v>
      </c>
      <c r="G12" s="528">
        <f t="shared" si="1"/>
        <v>9203770.2599999998</v>
      </c>
      <c r="H12" s="530">
        <f t="shared" si="1"/>
        <v>8717057.0600000005</v>
      </c>
      <c r="I12" s="528">
        <f t="shared" si="1"/>
        <v>8652904.8899999987</v>
      </c>
      <c r="J12" s="531">
        <f t="shared" si="1"/>
        <v>8013505.6099999994</v>
      </c>
      <c r="K12" s="528">
        <f t="shared" si="1"/>
        <v>10017865.039999999</v>
      </c>
      <c r="L12" s="528">
        <f t="shared" si="1"/>
        <v>9605417.4000000004</v>
      </c>
      <c r="M12" s="528">
        <f t="shared" si="1"/>
        <v>8539217.6099999994</v>
      </c>
      <c r="N12" s="528">
        <f>SUM(N13:N18)</f>
        <v>109888309.5</v>
      </c>
    </row>
    <row r="13" spans="1:14">
      <c r="A13" s="191" t="s">
        <v>71</v>
      </c>
      <c r="B13" s="525">
        <v>6000784.8399999999</v>
      </c>
      <c r="C13" s="525">
        <v>6102720.1900000004</v>
      </c>
      <c r="D13" s="525">
        <v>5904636.3700000001</v>
      </c>
      <c r="E13" s="525">
        <v>5382142.9400000004</v>
      </c>
      <c r="F13" s="526">
        <v>5855277.9500000002</v>
      </c>
      <c r="G13" s="525">
        <v>5778957.2000000002</v>
      </c>
      <c r="H13" s="221">
        <v>5713289.46</v>
      </c>
      <c r="I13" s="525">
        <v>5127120.5999999996</v>
      </c>
      <c r="J13" s="527">
        <v>5180832.93</v>
      </c>
      <c r="K13" s="525">
        <v>6733320.5999999996</v>
      </c>
      <c r="L13" s="525">
        <v>6840390.6299999999</v>
      </c>
      <c r="M13" s="525">
        <v>5635601.75</v>
      </c>
      <c r="N13" s="525">
        <f t="shared" ref="N13:N18" si="2">SUM(B13:M13)</f>
        <v>70255075.460000008</v>
      </c>
    </row>
    <row r="14" spans="1:14">
      <c r="A14" s="191" t="s">
        <v>152</v>
      </c>
      <c r="B14" s="525">
        <v>2844941.03</v>
      </c>
      <c r="C14" s="525">
        <v>3497486.3</v>
      </c>
      <c r="D14" s="525">
        <v>3494901.6</v>
      </c>
      <c r="E14" s="525">
        <v>2368497.6</v>
      </c>
      <c r="F14" s="526">
        <v>3339097.93</v>
      </c>
      <c r="G14" s="525">
        <v>2811672.7</v>
      </c>
      <c r="H14" s="221">
        <v>2463164.89</v>
      </c>
      <c r="I14" s="525">
        <v>3032165.01</v>
      </c>
      <c r="J14" s="527">
        <v>2555010.69</v>
      </c>
      <c r="K14" s="525">
        <v>2680863.15</v>
      </c>
      <c r="L14" s="525">
        <v>2337557.92</v>
      </c>
      <c r="M14" s="525">
        <v>2281356.75</v>
      </c>
      <c r="N14" s="525">
        <f t="shared" si="2"/>
        <v>33706715.57</v>
      </c>
    </row>
    <row r="15" spans="1:14">
      <c r="A15" s="191" t="s">
        <v>57</v>
      </c>
      <c r="B15" s="525">
        <v>90480</v>
      </c>
      <c r="C15" s="525">
        <v>0</v>
      </c>
      <c r="D15" s="525">
        <v>30160</v>
      </c>
      <c r="E15" s="525">
        <v>37700</v>
      </c>
      <c r="F15" s="526">
        <v>60320</v>
      </c>
      <c r="G15" s="525">
        <v>15080</v>
      </c>
      <c r="H15" s="221">
        <v>22620</v>
      </c>
      <c r="I15" s="525">
        <v>30160</v>
      </c>
      <c r="J15" s="527">
        <v>37700</v>
      </c>
      <c r="K15" s="525">
        <v>37700</v>
      </c>
      <c r="L15" s="525">
        <v>29900.01</v>
      </c>
      <c r="M15" s="525">
        <v>45240</v>
      </c>
      <c r="N15" s="525">
        <f t="shared" si="2"/>
        <v>437060.01</v>
      </c>
    </row>
    <row r="16" spans="1:14">
      <c r="A16" s="191" t="s">
        <v>58</v>
      </c>
      <c r="B16" s="525"/>
      <c r="C16" s="525"/>
      <c r="D16" s="525"/>
      <c r="E16" s="525">
        <v>0</v>
      </c>
      <c r="F16" s="526">
        <v>0</v>
      </c>
      <c r="G16" s="525">
        <v>0</v>
      </c>
      <c r="H16" s="221">
        <v>0</v>
      </c>
      <c r="I16" s="525">
        <v>0</v>
      </c>
      <c r="J16" s="525">
        <v>0</v>
      </c>
      <c r="K16" s="525">
        <v>0</v>
      </c>
      <c r="L16" s="525">
        <v>0</v>
      </c>
      <c r="M16" s="525"/>
      <c r="N16" s="525">
        <f t="shared" si="2"/>
        <v>0</v>
      </c>
    </row>
    <row r="17" spans="1:14">
      <c r="A17" s="191" t="s">
        <v>153</v>
      </c>
      <c r="B17" s="525"/>
      <c r="C17" s="525"/>
      <c r="D17" s="525"/>
      <c r="E17" s="525">
        <v>0</v>
      </c>
      <c r="F17" s="526">
        <v>0</v>
      </c>
      <c r="G17" s="525">
        <v>0</v>
      </c>
      <c r="H17" s="221">
        <v>0</v>
      </c>
      <c r="I17" s="525">
        <v>0</v>
      </c>
      <c r="J17" s="525">
        <v>0</v>
      </c>
      <c r="K17" s="525">
        <v>0</v>
      </c>
      <c r="L17" s="525">
        <v>0</v>
      </c>
      <c r="M17" s="525"/>
      <c r="N17" s="525">
        <f t="shared" si="2"/>
        <v>0</v>
      </c>
    </row>
    <row r="18" spans="1:14">
      <c r="A18" s="191" t="s">
        <v>3</v>
      </c>
      <c r="B18" s="525">
        <v>331957.95</v>
      </c>
      <c r="C18" s="525">
        <v>498113.51</v>
      </c>
      <c r="D18" s="525">
        <v>345747.86</v>
      </c>
      <c r="E18" s="525">
        <v>137874.16</v>
      </c>
      <c r="F18" s="526">
        <v>815731.4</v>
      </c>
      <c r="G18" s="525">
        <v>598060.36</v>
      </c>
      <c r="H18" s="221">
        <v>517982.71</v>
      </c>
      <c r="I18" s="525">
        <v>463459.28</v>
      </c>
      <c r="J18" s="527">
        <v>239961.99</v>
      </c>
      <c r="K18" s="525">
        <v>565981.29</v>
      </c>
      <c r="L18" s="525">
        <v>397568.84</v>
      </c>
      <c r="M18" s="525">
        <v>577019.11</v>
      </c>
      <c r="N18" s="525">
        <f t="shared" si="2"/>
        <v>5489458.46</v>
      </c>
    </row>
    <row r="19" spans="1:14">
      <c r="A19" s="186"/>
      <c r="B19" s="525"/>
      <c r="C19" s="525"/>
      <c r="D19" s="525"/>
      <c r="E19" s="525"/>
      <c r="F19" s="526"/>
      <c r="G19" s="525"/>
      <c r="H19" s="221"/>
      <c r="I19" s="525"/>
      <c r="J19" s="527"/>
      <c r="K19" s="525"/>
      <c r="L19" s="525"/>
      <c r="M19" s="525"/>
      <c r="N19" s="525"/>
    </row>
    <row r="20" spans="1:14">
      <c r="A20" s="193" t="s">
        <v>50</v>
      </c>
      <c r="B20" s="528">
        <f>SUM(B21:B27)</f>
        <v>3583622.82</v>
      </c>
      <c r="C20" s="528">
        <f t="shared" ref="C20:M20" si="3">SUM(C21:C27)</f>
        <v>2531438.29</v>
      </c>
      <c r="D20" s="528">
        <f t="shared" si="3"/>
        <v>5912782.8400000008</v>
      </c>
      <c r="E20" s="528">
        <f t="shared" si="3"/>
        <v>1823887.31</v>
      </c>
      <c r="F20" s="529">
        <f t="shared" si="3"/>
        <v>4081934.4</v>
      </c>
      <c r="G20" s="528">
        <f t="shared" si="3"/>
        <v>5360727.4799999995</v>
      </c>
      <c r="H20" s="530">
        <f t="shared" si="3"/>
        <v>3303371.01</v>
      </c>
      <c r="I20" s="528">
        <f t="shared" si="3"/>
        <v>6634749.5099999998</v>
      </c>
      <c r="J20" s="531">
        <f t="shared" si="3"/>
        <v>3868881.25</v>
      </c>
      <c r="K20" s="528">
        <f t="shared" si="3"/>
        <v>3428302.48</v>
      </c>
      <c r="L20" s="528">
        <f t="shared" si="3"/>
        <v>3288660.64</v>
      </c>
      <c r="M20" s="528">
        <f t="shared" si="3"/>
        <v>4965254.01</v>
      </c>
      <c r="N20" s="528">
        <f t="shared" ref="N20:N27" si="4">SUM(B20:M20)</f>
        <v>48783612.039999992</v>
      </c>
    </row>
    <row r="21" spans="1:14">
      <c r="A21" s="191" t="s">
        <v>154</v>
      </c>
      <c r="B21" s="525">
        <v>624866.48</v>
      </c>
      <c r="C21" s="525">
        <v>307021.95</v>
      </c>
      <c r="D21" s="525">
        <v>2243815.9</v>
      </c>
      <c r="E21" s="525">
        <v>134909.20000000001</v>
      </c>
      <c r="F21" s="526">
        <v>720441.1</v>
      </c>
      <c r="G21" s="525">
        <v>1373777.98</v>
      </c>
      <c r="H21" s="221">
        <v>313536.11</v>
      </c>
      <c r="I21" s="525">
        <f>2279062.56+380000</f>
        <v>2659062.56</v>
      </c>
      <c r="J21" s="527">
        <f>642883+116935</f>
        <v>759818</v>
      </c>
      <c r="K21" s="525">
        <f>365918.15+380000</f>
        <v>745918.15</v>
      </c>
      <c r="L21" s="525">
        <f>216518.99+380000</f>
        <v>596518.99</v>
      </c>
      <c r="M21" s="525">
        <f>456100.6+116300</f>
        <v>572400.6</v>
      </c>
      <c r="N21" s="525">
        <f t="shared" si="4"/>
        <v>11052087.020000001</v>
      </c>
    </row>
    <row r="22" spans="1:14">
      <c r="A22" s="191" t="s">
        <v>59</v>
      </c>
      <c r="B22" s="525"/>
      <c r="C22" s="525"/>
      <c r="D22" s="525"/>
      <c r="E22" s="525">
        <v>0</v>
      </c>
      <c r="F22" s="526">
        <v>0</v>
      </c>
      <c r="G22" s="525">
        <v>0</v>
      </c>
      <c r="H22" s="221"/>
      <c r="I22" s="525"/>
      <c r="J22" s="527">
        <v>0</v>
      </c>
      <c r="K22" s="525">
        <v>0</v>
      </c>
      <c r="L22" s="525">
        <v>0</v>
      </c>
      <c r="M22" s="525">
        <v>0</v>
      </c>
      <c r="N22" s="525">
        <f t="shared" si="4"/>
        <v>0</v>
      </c>
    </row>
    <row r="23" spans="1:14">
      <c r="A23" s="191" t="s">
        <v>60</v>
      </c>
      <c r="B23" s="525">
        <v>1867433.4</v>
      </c>
      <c r="C23" s="525">
        <v>228827.21</v>
      </c>
      <c r="D23" s="525">
        <v>1447614.73</v>
      </c>
      <c r="E23" s="525">
        <v>160506.71</v>
      </c>
      <c r="F23" s="526">
        <v>440146.99</v>
      </c>
      <c r="G23" s="525">
        <v>554114.1</v>
      </c>
      <c r="H23" s="221">
        <v>552895.41</v>
      </c>
      <c r="I23" s="525">
        <v>703788.61</v>
      </c>
      <c r="J23" s="527">
        <v>1136442.51</v>
      </c>
      <c r="K23" s="525">
        <v>660269.18000000005</v>
      </c>
      <c r="L23" s="525">
        <v>553971.21</v>
      </c>
      <c r="M23" s="525">
        <v>2494788.15</v>
      </c>
      <c r="N23" s="525">
        <f t="shared" si="4"/>
        <v>10800798.209999999</v>
      </c>
    </row>
    <row r="24" spans="1:14">
      <c r="A24" s="191" t="s">
        <v>61</v>
      </c>
      <c r="B24" s="525">
        <v>139338.76</v>
      </c>
      <c r="C24" s="525">
        <v>286917.08</v>
      </c>
      <c r="D24" s="525">
        <v>85896.9</v>
      </c>
      <c r="E24" s="525">
        <v>85149.45</v>
      </c>
      <c r="F24" s="526">
        <v>197316.47</v>
      </c>
      <c r="G24" s="525">
        <v>257686.8</v>
      </c>
      <c r="H24" s="221">
        <v>309201.44</v>
      </c>
      <c r="I24" s="525">
        <v>496176.08</v>
      </c>
      <c r="J24" s="527">
        <v>143751.44</v>
      </c>
      <c r="K24" s="525">
        <v>320336.75</v>
      </c>
      <c r="L24" s="525">
        <v>206200.95</v>
      </c>
      <c r="M24" s="525">
        <v>189100.76</v>
      </c>
      <c r="N24" s="525">
        <f t="shared" si="4"/>
        <v>2717072.88</v>
      </c>
    </row>
    <row r="25" spans="1:14">
      <c r="A25" s="191" t="s">
        <v>62</v>
      </c>
      <c r="B25" s="525">
        <v>531704.68000000005</v>
      </c>
      <c r="C25" s="525">
        <v>1315707.18</v>
      </c>
      <c r="D25" s="525">
        <v>1418715.43</v>
      </c>
      <c r="E25" s="525">
        <v>957485.6</v>
      </c>
      <c r="F25" s="526">
        <v>1997610.05</v>
      </c>
      <c r="G25" s="525">
        <v>2667606.39</v>
      </c>
      <c r="H25" s="221">
        <v>1684852.84</v>
      </c>
      <c r="I25" s="525">
        <v>2323693.35</v>
      </c>
      <c r="J25" s="527">
        <v>1331854.53</v>
      </c>
      <c r="K25" s="525">
        <v>963460.8</v>
      </c>
      <c r="L25" s="525">
        <v>1363337.68</v>
      </c>
      <c r="M25" s="525">
        <v>897959.34</v>
      </c>
      <c r="N25" s="525">
        <f t="shared" si="4"/>
        <v>17453987.870000001</v>
      </c>
    </row>
    <row r="26" spans="1:14">
      <c r="A26" s="191" t="s">
        <v>3</v>
      </c>
      <c r="B26" s="525">
        <v>134433.5</v>
      </c>
      <c r="C26" s="525">
        <v>111360</v>
      </c>
      <c r="D26" s="525">
        <v>337635.19</v>
      </c>
      <c r="E26" s="525">
        <v>168803.5</v>
      </c>
      <c r="F26" s="526">
        <v>273447.5</v>
      </c>
      <c r="G26" s="525">
        <v>201497</v>
      </c>
      <c r="H26" s="221">
        <v>133884.5</v>
      </c>
      <c r="I26" s="525">
        <v>99835.5</v>
      </c>
      <c r="J26" s="527">
        <v>216811</v>
      </c>
      <c r="K26" s="525">
        <v>329415.5</v>
      </c>
      <c r="L26" s="525">
        <v>263086</v>
      </c>
      <c r="M26" s="525">
        <v>78931</v>
      </c>
      <c r="N26" s="525">
        <f t="shared" si="4"/>
        <v>2349140.19</v>
      </c>
    </row>
    <row r="27" spans="1:14">
      <c r="A27" s="197" t="s">
        <v>466</v>
      </c>
      <c r="B27" s="525">
        <v>285846</v>
      </c>
      <c r="C27" s="221">
        <v>281604.87</v>
      </c>
      <c r="D27" s="525">
        <v>379104.69</v>
      </c>
      <c r="E27" s="525">
        <v>317032.84999999998</v>
      </c>
      <c r="F27" s="526">
        <v>452972.29</v>
      </c>
      <c r="G27" s="525">
        <v>306045.21000000002</v>
      </c>
      <c r="H27" s="221">
        <v>309000.71000000002</v>
      </c>
      <c r="I27" s="525">
        <v>352193.41</v>
      </c>
      <c r="J27" s="221">
        <v>280203.77</v>
      </c>
      <c r="K27" s="526">
        <v>408902.1</v>
      </c>
      <c r="L27" s="526">
        <v>305545.81</v>
      </c>
      <c r="M27" s="526">
        <v>732074.16</v>
      </c>
      <c r="N27" s="525">
        <f t="shared" si="4"/>
        <v>4410525.87</v>
      </c>
    </row>
    <row r="28" spans="1:14">
      <c r="A28" s="186"/>
      <c r="B28" s="525"/>
      <c r="C28" s="525"/>
      <c r="D28" s="525"/>
      <c r="E28" s="525"/>
      <c r="F28" s="526"/>
      <c r="G28" s="525"/>
      <c r="H28" s="221"/>
      <c r="I28" s="525"/>
      <c r="J28" s="527"/>
      <c r="K28" s="525"/>
      <c r="L28" s="525"/>
      <c r="M28" s="525"/>
      <c r="N28" s="525"/>
    </row>
    <row r="29" spans="1:14">
      <c r="A29" s="193" t="s">
        <v>336</v>
      </c>
      <c r="B29" s="528">
        <f>SUM(B30:B36)</f>
        <v>7318540.8399999999</v>
      </c>
      <c r="C29" s="528">
        <f t="shared" ref="C29:L29" si="5">SUM(C30:C36)</f>
        <v>7964382.7299999995</v>
      </c>
      <c r="D29" s="528">
        <f t="shared" si="5"/>
        <v>8584966.3000000007</v>
      </c>
      <c r="E29" s="528">
        <f t="shared" si="5"/>
        <v>4144302.7399999998</v>
      </c>
      <c r="F29" s="529">
        <f t="shared" si="5"/>
        <v>6873989.5099999998</v>
      </c>
      <c r="G29" s="528">
        <f t="shared" si="5"/>
        <v>6745000.4899999993</v>
      </c>
      <c r="H29" s="530">
        <f t="shared" si="5"/>
        <v>5460522.8099999987</v>
      </c>
      <c r="I29" s="528">
        <f t="shared" si="5"/>
        <v>5266050.4499999993</v>
      </c>
      <c r="J29" s="531">
        <f t="shared" ref="J29" si="6">SUM(J30:J36)</f>
        <v>6016950.7200000007</v>
      </c>
      <c r="K29" s="528">
        <f t="shared" si="5"/>
        <v>5318232.93</v>
      </c>
      <c r="L29" s="528">
        <f t="shared" si="5"/>
        <v>5250587.4699999988</v>
      </c>
      <c r="M29" s="528">
        <f t="shared" ref="M29" si="7">SUM(M30:M36)</f>
        <v>3227722.8500000006</v>
      </c>
      <c r="N29" s="528">
        <f>SUM(N30:N36)</f>
        <v>72171249.839999989</v>
      </c>
    </row>
    <row r="30" spans="1:14">
      <c r="A30" s="191" t="s">
        <v>300</v>
      </c>
      <c r="B30" s="525">
        <v>5080246.9800000004</v>
      </c>
      <c r="C30" s="525">
        <v>4656380.63</v>
      </c>
      <c r="D30" s="525">
        <v>6139426.7199999997</v>
      </c>
      <c r="E30" s="525">
        <v>2999718.01</v>
      </c>
      <c r="F30" s="526">
        <v>4251852.05</v>
      </c>
      <c r="G30" s="525">
        <v>4712057.04</v>
      </c>
      <c r="H30" s="221">
        <v>3086556.51</v>
      </c>
      <c r="I30" s="525">
        <v>3518526.44</v>
      </c>
      <c r="J30" s="527">
        <v>4299515.1100000003</v>
      </c>
      <c r="K30" s="525">
        <v>3489132.69</v>
      </c>
      <c r="L30" s="525">
        <v>4062373.26</v>
      </c>
      <c r="M30" s="525">
        <v>1803772.38</v>
      </c>
      <c r="N30" s="525">
        <f t="shared" ref="N30:N36" si="8">SUM(B30:M30)</f>
        <v>48099557.819999993</v>
      </c>
    </row>
    <row r="31" spans="1:14">
      <c r="A31" s="191" t="s">
        <v>63</v>
      </c>
      <c r="B31" s="525">
        <v>1306449.01</v>
      </c>
      <c r="C31" s="525">
        <v>1850693.76</v>
      </c>
      <c r="D31" s="525">
        <v>1819605.03</v>
      </c>
      <c r="E31" s="525">
        <v>667246.05000000005</v>
      </c>
      <c r="F31" s="526">
        <v>2050737.55</v>
      </c>
      <c r="G31" s="525">
        <v>1460101.4</v>
      </c>
      <c r="H31" s="221">
        <v>1225093.1399999999</v>
      </c>
      <c r="I31" s="525">
        <v>1229025.95</v>
      </c>
      <c r="J31" s="527">
        <v>924206.92</v>
      </c>
      <c r="K31" s="525">
        <v>1065855.1599999999</v>
      </c>
      <c r="L31" s="525">
        <v>720277.89</v>
      </c>
      <c r="M31" s="525">
        <v>1203834.9099999999</v>
      </c>
      <c r="N31" s="525">
        <f t="shared" si="8"/>
        <v>15523126.77</v>
      </c>
    </row>
    <row r="32" spans="1:14">
      <c r="A32" s="191" t="s">
        <v>155</v>
      </c>
      <c r="B32" s="525">
        <v>3561.2</v>
      </c>
      <c r="C32" s="525">
        <v>66700</v>
      </c>
      <c r="D32" s="525">
        <v>123412.4</v>
      </c>
      <c r="E32" s="525">
        <v>82631</v>
      </c>
      <c r="F32" s="526">
        <v>5399.8</v>
      </c>
      <c r="G32" s="525">
        <v>5599.99</v>
      </c>
      <c r="H32" s="221">
        <v>1150.3900000000001</v>
      </c>
      <c r="I32" s="525">
        <v>2556</v>
      </c>
      <c r="J32" s="527">
        <v>118006.8</v>
      </c>
      <c r="K32" s="525">
        <v>5744.32</v>
      </c>
      <c r="L32" s="525">
        <v>1392</v>
      </c>
      <c r="M32" s="525">
        <v>4663.2</v>
      </c>
      <c r="N32" s="525">
        <f t="shared" si="8"/>
        <v>420817.1</v>
      </c>
    </row>
    <row r="33" spans="1:14">
      <c r="A33" s="191" t="s">
        <v>65</v>
      </c>
      <c r="B33" s="525">
        <v>240074.51</v>
      </c>
      <c r="C33" s="525">
        <v>558397.29</v>
      </c>
      <c r="D33" s="525">
        <v>154165.20000000001</v>
      </c>
      <c r="E33" s="525">
        <v>252382.49</v>
      </c>
      <c r="F33" s="526">
        <v>415303.89</v>
      </c>
      <c r="G33" s="525">
        <v>464214.29</v>
      </c>
      <c r="H33" s="221">
        <v>370528.02</v>
      </c>
      <c r="I33" s="525">
        <v>448185.42</v>
      </c>
      <c r="J33" s="527">
        <v>467334.08</v>
      </c>
      <c r="K33" s="525">
        <v>294703.34999999998</v>
      </c>
      <c r="L33" s="525">
        <v>302892.98</v>
      </c>
      <c r="M33" s="525">
        <v>145753.72</v>
      </c>
      <c r="N33" s="525">
        <f t="shared" si="8"/>
        <v>4113935.24</v>
      </c>
    </row>
    <row r="34" spans="1:14">
      <c r="A34" s="191" t="s">
        <v>64</v>
      </c>
      <c r="B34" s="525">
        <v>45065.05</v>
      </c>
      <c r="C34" s="525">
        <v>25005.200000000001</v>
      </c>
      <c r="D34" s="525">
        <v>73296.47</v>
      </c>
      <c r="E34" s="525">
        <v>66966.19</v>
      </c>
      <c r="F34" s="526">
        <v>48011.53</v>
      </c>
      <c r="G34" s="525">
        <v>42373.89</v>
      </c>
      <c r="H34" s="221">
        <v>24625.58</v>
      </c>
      <c r="I34" s="525">
        <v>34713.75</v>
      </c>
      <c r="J34" s="527">
        <v>36282.44</v>
      </c>
      <c r="K34" s="525">
        <v>65607.039999999994</v>
      </c>
      <c r="L34" s="525">
        <v>30236.21</v>
      </c>
      <c r="M34" s="525">
        <v>31487.06</v>
      </c>
      <c r="N34" s="525">
        <f t="shared" si="8"/>
        <v>523670.41000000003</v>
      </c>
    </row>
    <row r="35" spans="1:14">
      <c r="A35" s="191" t="s">
        <v>167</v>
      </c>
      <c r="B35" s="525"/>
      <c r="C35" s="525"/>
      <c r="D35" s="525"/>
      <c r="E35" s="525">
        <v>0</v>
      </c>
      <c r="F35" s="526">
        <v>0</v>
      </c>
      <c r="G35" s="525">
        <v>0</v>
      </c>
      <c r="H35" s="221">
        <v>0</v>
      </c>
      <c r="I35" s="221">
        <v>0</v>
      </c>
      <c r="J35" s="221">
        <v>0</v>
      </c>
      <c r="K35" s="221">
        <v>0</v>
      </c>
      <c r="L35" s="221">
        <v>0</v>
      </c>
      <c r="M35" s="525">
        <v>0</v>
      </c>
      <c r="N35" s="525">
        <f t="shared" si="8"/>
        <v>0</v>
      </c>
    </row>
    <row r="36" spans="1:14">
      <c r="A36" s="191" t="s">
        <v>3</v>
      </c>
      <c r="B36" s="525">
        <v>643144.09</v>
      </c>
      <c r="C36" s="525">
        <v>807205.85</v>
      </c>
      <c r="D36" s="525">
        <v>275060.47999999998</v>
      </c>
      <c r="E36" s="525">
        <v>75359</v>
      </c>
      <c r="F36" s="526">
        <v>102684.69</v>
      </c>
      <c r="G36" s="525">
        <v>60653.88</v>
      </c>
      <c r="H36" s="221">
        <v>752569.17</v>
      </c>
      <c r="I36" s="525">
        <v>33042.89</v>
      </c>
      <c r="J36" s="527">
        <v>171605.37</v>
      </c>
      <c r="K36" s="525">
        <v>397190.37</v>
      </c>
      <c r="L36" s="525">
        <v>133415.13</v>
      </c>
      <c r="M36" s="525">
        <v>38211.58</v>
      </c>
      <c r="N36" s="525">
        <f t="shared" si="8"/>
        <v>3490142.5</v>
      </c>
    </row>
    <row r="37" spans="1:14">
      <c r="A37" s="186"/>
      <c r="B37" s="525"/>
      <c r="C37" s="525"/>
      <c r="D37" s="525"/>
      <c r="E37" s="525"/>
      <c r="F37" s="526"/>
      <c r="G37" s="525"/>
      <c r="H37" s="221"/>
      <c r="I37" s="525"/>
      <c r="J37" s="527"/>
      <c r="K37" s="525"/>
      <c r="L37" s="525"/>
      <c r="M37" s="525"/>
      <c r="N37" s="525"/>
    </row>
    <row r="38" spans="1:14">
      <c r="A38" s="193" t="s">
        <v>51</v>
      </c>
      <c r="B38" s="528">
        <f>SUM(B39:B40)</f>
        <v>925361.59</v>
      </c>
      <c r="C38" s="528">
        <f t="shared" ref="C38:L38" si="9">SUM(C39:C40)</f>
        <v>1243289.45</v>
      </c>
      <c r="D38" s="528">
        <f t="shared" si="9"/>
        <v>918264.45</v>
      </c>
      <c r="E38" s="528">
        <f t="shared" si="9"/>
        <v>838128.77</v>
      </c>
      <c r="F38" s="529">
        <f t="shared" si="9"/>
        <v>311194.15000000002</v>
      </c>
      <c r="G38" s="528">
        <f t="shared" si="9"/>
        <v>1291484.03</v>
      </c>
      <c r="H38" s="530">
        <f t="shared" si="9"/>
        <v>489134.31</v>
      </c>
      <c r="I38" s="528">
        <f t="shared" si="9"/>
        <v>280314.46999999997</v>
      </c>
      <c r="J38" s="531">
        <f t="shared" ref="J38" si="10">SUM(J39:J40)</f>
        <v>798146.6</v>
      </c>
      <c r="K38" s="528">
        <f t="shared" si="9"/>
        <v>439092.35</v>
      </c>
      <c r="L38" s="528">
        <f t="shared" si="9"/>
        <v>65400.04</v>
      </c>
      <c r="M38" s="528">
        <f t="shared" ref="M38" si="11">SUM(M39:M40)</f>
        <v>497577.93</v>
      </c>
      <c r="N38" s="528">
        <f>SUM(N39:N40)</f>
        <v>8097388.1399999987</v>
      </c>
    </row>
    <row r="39" spans="1:14">
      <c r="A39" s="191" t="s">
        <v>66</v>
      </c>
      <c r="B39" s="525">
        <v>925361.59</v>
      </c>
      <c r="C39" s="525">
        <v>1243289.45</v>
      </c>
      <c r="D39" s="525">
        <v>918264.45</v>
      </c>
      <c r="E39" s="525">
        <v>288128.77</v>
      </c>
      <c r="F39" s="526">
        <v>311194.15000000002</v>
      </c>
      <c r="G39" s="525">
        <v>691484.03</v>
      </c>
      <c r="H39" s="221">
        <v>489134.31</v>
      </c>
      <c r="I39" s="525">
        <v>280314.46999999997</v>
      </c>
      <c r="J39" s="527">
        <v>798146.6</v>
      </c>
      <c r="K39" s="525">
        <v>439092.35</v>
      </c>
      <c r="L39" s="525">
        <v>65400.04</v>
      </c>
      <c r="M39" s="525">
        <v>497577.93</v>
      </c>
      <c r="N39" s="525">
        <f>SUM(B39:M39)</f>
        <v>6947388.1399999987</v>
      </c>
    </row>
    <row r="40" spans="1:14">
      <c r="A40" s="191" t="s">
        <v>67</v>
      </c>
      <c r="B40" s="525"/>
      <c r="C40" s="525"/>
      <c r="D40" s="525"/>
      <c r="E40" s="525">
        <v>550000</v>
      </c>
      <c r="F40" s="526">
        <v>0</v>
      </c>
      <c r="G40" s="525">
        <v>600000</v>
      </c>
      <c r="H40" s="221">
        <v>0</v>
      </c>
      <c r="I40" s="525">
        <v>0</v>
      </c>
      <c r="J40" s="525">
        <v>0</v>
      </c>
      <c r="K40" s="525">
        <v>0</v>
      </c>
      <c r="L40" s="525">
        <v>0</v>
      </c>
      <c r="M40" s="525"/>
      <c r="N40" s="525">
        <f>SUM(B40:M40)</f>
        <v>1150000</v>
      </c>
    </row>
    <row r="41" spans="1:14">
      <c r="A41" s="186"/>
      <c r="B41" s="525"/>
      <c r="C41" s="525"/>
      <c r="D41" s="525"/>
      <c r="E41" s="525"/>
      <c r="F41" s="526"/>
      <c r="G41" s="525"/>
      <c r="H41" s="221"/>
      <c r="I41" s="525"/>
      <c r="J41" s="527"/>
      <c r="K41" s="525"/>
      <c r="L41" s="525"/>
      <c r="M41" s="525"/>
      <c r="N41" s="525"/>
    </row>
    <row r="42" spans="1:14">
      <c r="A42" s="193" t="s">
        <v>122</v>
      </c>
      <c r="B42" s="528">
        <f>SUM(B43:B46)</f>
        <v>17705344.670000002</v>
      </c>
      <c r="C42" s="528">
        <f t="shared" ref="C42:L42" si="12">SUM(C43:C46)</f>
        <v>16725786.550000001</v>
      </c>
      <c r="D42" s="528">
        <f t="shared" si="12"/>
        <v>39343966.410000004</v>
      </c>
      <c r="E42" s="528">
        <f t="shared" si="12"/>
        <v>15572824.620000001</v>
      </c>
      <c r="F42" s="529">
        <f t="shared" si="12"/>
        <v>28526080.889999997</v>
      </c>
      <c r="G42" s="528">
        <f t="shared" si="12"/>
        <v>15539665.09</v>
      </c>
      <c r="H42" s="530">
        <f t="shared" si="12"/>
        <v>26194730.279999997</v>
      </c>
      <c r="I42" s="528">
        <f t="shared" si="12"/>
        <v>14967187.15</v>
      </c>
      <c r="J42" s="531">
        <f t="shared" ref="J42" si="13">SUM(J43:J46)</f>
        <v>18899258.609999999</v>
      </c>
      <c r="K42" s="528">
        <f t="shared" si="12"/>
        <v>21703810.889999997</v>
      </c>
      <c r="L42" s="528">
        <f t="shared" si="12"/>
        <v>21238555.289999999</v>
      </c>
      <c r="M42" s="528">
        <f t="shared" ref="M42" si="14">SUM(M43:M46)</f>
        <v>7642441.21</v>
      </c>
      <c r="N42" s="528">
        <f>SUM(N43:N46)</f>
        <v>244059651.66000003</v>
      </c>
    </row>
    <row r="43" spans="1:14">
      <c r="A43" s="191" t="s">
        <v>68</v>
      </c>
      <c r="B43" s="525">
        <v>4381211.04</v>
      </c>
      <c r="C43" s="525">
        <v>4180690.46</v>
      </c>
      <c r="D43" s="525">
        <v>9088398.9000000004</v>
      </c>
      <c r="E43" s="525">
        <v>3689804.72</v>
      </c>
      <c r="F43" s="526">
        <v>6855594.0599999996</v>
      </c>
      <c r="G43" s="525">
        <v>6587552.0499999998</v>
      </c>
      <c r="H43" s="221">
        <v>6260543.79</v>
      </c>
      <c r="I43" s="525">
        <v>4967691.09</v>
      </c>
      <c r="J43" s="527">
        <v>8446919.8800000008</v>
      </c>
      <c r="K43" s="525">
        <v>4706903.8099999996</v>
      </c>
      <c r="L43" s="525">
        <v>6915574.7400000002</v>
      </c>
      <c r="M43" s="525">
        <v>6771312.79</v>
      </c>
      <c r="N43" s="525">
        <f>SUM(B43:M43)</f>
        <v>72852197.330000013</v>
      </c>
    </row>
    <row r="44" spans="1:14">
      <c r="A44" s="191" t="s">
        <v>487</v>
      </c>
      <c r="B44" s="525">
        <v>13324133.630000001</v>
      </c>
      <c r="C44" s="525">
        <v>12545096.09</v>
      </c>
      <c r="D44" s="525">
        <v>30255567.510000002</v>
      </c>
      <c r="E44" s="525">
        <v>11883019.9</v>
      </c>
      <c r="F44" s="526">
        <v>21670486.829999998</v>
      </c>
      <c r="G44" s="525">
        <v>8952113.0399999991</v>
      </c>
      <c r="H44" s="221">
        <v>19934186.489999998</v>
      </c>
      <c r="I44" s="525">
        <v>9999496.0600000005</v>
      </c>
      <c r="J44" s="527">
        <v>10452338.73</v>
      </c>
      <c r="K44" s="525">
        <v>16996907.079999998</v>
      </c>
      <c r="L44" s="525">
        <v>14322980.550000001</v>
      </c>
      <c r="M44" s="525">
        <v>871128.42</v>
      </c>
      <c r="N44" s="525">
        <f>SUM(B44:M44)</f>
        <v>171207454.33000001</v>
      </c>
    </row>
    <row r="45" spans="1:14">
      <c r="A45" s="191" t="s">
        <v>191</v>
      </c>
      <c r="B45" s="525"/>
      <c r="C45" s="525"/>
      <c r="D45" s="525"/>
      <c r="E45" s="525"/>
      <c r="F45" s="526"/>
      <c r="G45" s="525"/>
      <c r="H45" s="221"/>
      <c r="I45" s="525"/>
      <c r="J45" s="527"/>
      <c r="K45" s="525"/>
      <c r="L45" s="525"/>
      <c r="M45" s="525"/>
      <c r="N45" s="525">
        <f>SUM(B45:M45)</f>
        <v>0</v>
      </c>
    </row>
    <row r="46" spans="1:14">
      <c r="A46" s="194" t="s">
        <v>69</v>
      </c>
      <c r="B46" s="532"/>
      <c r="C46" s="532"/>
      <c r="D46" s="532"/>
      <c r="E46" s="532"/>
      <c r="F46" s="533"/>
      <c r="G46" s="532"/>
      <c r="H46" s="534"/>
      <c r="I46" s="532"/>
      <c r="J46" s="535"/>
      <c r="K46" s="532"/>
      <c r="L46" s="532"/>
      <c r="M46" s="532"/>
      <c r="N46" s="532">
        <f>SUM(B46:M46)</f>
        <v>0</v>
      </c>
    </row>
    <row r="47" spans="1:14">
      <c r="A47" s="195"/>
      <c r="B47" s="536"/>
      <c r="C47" s="536"/>
      <c r="D47" s="536"/>
      <c r="E47" s="536"/>
      <c r="F47" s="536"/>
      <c r="G47" s="536"/>
      <c r="H47" s="536"/>
      <c r="I47" s="536"/>
      <c r="J47" s="536"/>
      <c r="K47" s="536"/>
      <c r="L47" s="536"/>
      <c r="M47" s="536"/>
      <c r="N47" s="536"/>
    </row>
    <row r="48" spans="1:14">
      <c r="A48" s="196"/>
      <c r="B48" s="537"/>
      <c r="C48" s="537"/>
      <c r="D48" s="537"/>
      <c r="E48" s="537"/>
      <c r="F48" s="537"/>
      <c r="G48" s="537"/>
      <c r="H48" s="537"/>
      <c r="I48" s="537"/>
      <c r="J48" s="537"/>
      <c r="K48" s="537"/>
      <c r="L48" s="538"/>
      <c r="M48" s="537"/>
      <c r="N48" s="539"/>
    </row>
    <row r="49" spans="1:15">
      <c r="A49" s="197" t="s">
        <v>156</v>
      </c>
      <c r="B49" s="528">
        <f>SUM(B50:B62)</f>
        <v>361362.67</v>
      </c>
      <c r="C49" s="528">
        <f t="shared" ref="C49:N49" si="15">SUM(C50:C62)</f>
        <v>0</v>
      </c>
      <c r="D49" s="528">
        <f t="shared" si="15"/>
        <v>570352.64000000001</v>
      </c>
      <c r="E49" s="528">
        <f t="shared" si="15"/>
        <v>4538556.51</v>
      </c>
      <c r="F49" s="528">
        <f t="shared" si="15"/>
        <v>2659936.87</v>
      </c>
      <c r="G49" s="528">
        <f t="shared" si="15"/>
        <v>1059540.8400000001</v>
      </c>
      <c r="H49" s="528">
        <f t="shared" si="15"/>
        <v>79282.759999999995</v>
      </c>
      <c r="I49" s="528">
        <f t="shared" si="15"/>
        <v>-632.20000000000005</v>
      </c>
      <c r="J49" s="528">
        <f t="shared" ref="J49" si="16">SUM(J50:J62)</f>
        <v>268125.8</v>
      </c>
      <c r="K49" s="528">
        <f t="shared" si="15"/>
        <v>1517831.76</v>
      </c>
      <c r="L49" s="531">
        <f t="shared" si="15"/>
        <v>0</v>
      </c>
      <c r="M49" s="528">
        <f t="shared" ref="M49" si="17">SUM(M50:M62)</f>
        <v>1468923.98</v>
      </c>
      <c r="N49" s="528">
        <f t="shared" si="15"/>
        <v>12523281.629999999</v>
      </c>
    </row>
    <row r="50" spans="1:15">
      <c r="A50" s="101" t="s">
        <v>301</v>
      </c>
      <c r="B50" s="525"/>
      <c r="C50" s="525"/>
      <c r="D50" s="525"/>
      <c r="E50" s="525">
        <v>0</v>
      </c>
      <c r="F50" s="526">
        <v>0</v>
      </c>
      <c r="G50" s="525">
        <v>0</v>
      </c>
      <c r="H50" s="525">
        <v>0</v>
      </c>
      <c r="I50" s="525"/>
      <c r="J50" s="525"/>
      <c r="K50" s="525"/>
      <c r="L50" s="221"/>
      <c r="M50" s="525"/>
      <c r="N50" s="527">
        <f t="shared" ref="N50:N62" si="18">SUM(B50:M50)</f>
        <v>0</v>
      </c>
    </row>
    <row r="51" spans="1:15">
      <c r="A51" s="101" t="s">
        <v>60</v>
      </c>
      <c r="B51" s="525"/>
      <c r="C51" s="525"/>
      <c r="D51" s="525"/>
      <c r="E51" s="525">
        <v>0</v>
      </c>
      <c r="F51" s="526">
        <v>0</v>
      </c>
      <c r="G51" s="525">
        <v>0</v>
      </c>
      <c r="H51" s="525">
        <v>0</v>
      </c>
      <c r="I51" s="525"/>
      <c r="J51" s="525"/>
      <c r="K51" s="525"/>
      <c r="L51" s="221"/>
      <c r="M51" s="525"/>
      <c r="N51" s="527">
        <f t="shared" si="18"/>
        <v>0</v>
      </c>
    </row>
    <row r="52" spans="1:15">
      <c r="A52" s="101" t="s">
        <v>551</v>
      </c>
      <c r="B52" s="525"/>
      <c r="C52" s="525"/>
      <c r="D52" s="525"/>
      <c r="E52" s="525">
        <v>0</v>
      </c>
      <c r="F52" s="526">
        <v>11.6</v>
      </c>
      <c r="G52" s="525">
        <v>0</v>
      </c>
      <c r="H52" s="525">
        <v>0</v>
      </c>
      <c r="I52" s="525"/>
      <c r="J52" s="525"/>
      <c r="K52" s="525"/>
      <c r="L52" s="221"/>
      <c r="M52" s="525"/>
      <c r="N52" s="527">
        <f t="shared" si="18"/>
        <v>11.6</v>
      </c>
    </row>
    <row r="53" spans="1:15">
      <c r="A53" s="101" t="s">
        <v>489</v>
      </c>
      <c r="B53" s="525"/>
      <c r="C53" s="525"/>
      <c r="D53" s="525"/>
      <c r="E53" s="525">
        <v>0</v>
      </c>
      <c r="F53" s="526">
        <v>0</v>
      </c>
      <c r="G53" s="525">
        <v>0</v>
      </c>
      <c r="H53" s="525">
        <v>0</v>
      </c>
      <c r="I53" s="525"/>
      <c r="J53" s="525"/>
      <c r="K53" s="525"/>
      <c r="L53" s="221"/>
      <c r="M53" s="525"/>
      <c r="N53" s="527">
        <f t="shared" si="18"/>
        <v>0</v>
      </c>
    </row>
    <row r="54" spans="1:15">
      <c r="A54" s="101" t="s">
        <v>490</v>
      </c>
      <c r="B54" s="525">
        <v>0</v>
      </c>
      <c r="C54" s="525">
        <v>0</v>
      </c>
      <c r="D54" s="525">
        <v>11.6</v>
      </c>
      <c r="E54" s="525">
        <v>933.8</v>
      </c>
      <c r="F54" s="526">
        <v>17.399999999999999</v>
      </c>
      <c r="G54" s="525">
        <v>11.6</v>
      </c>
      <c r="H54" s="525">
        <v>928</v>
      </c>
      <c r="I54" s="525">
        <v>-922.2</v>
      </c>
      <c r="J54" s="525"/>
      <c r="K54" s="525"/>
      <c r="L54" s="221"/>
      <c r="M54" s="525"/>
      <c r="N54" s="527">
        <f t="shared" si="18"/>
        <v>980.2</v>
      </c>
    </row>
    <row r="55" spans="1:15">
      <c r="A55" s="101" t="s">
        <v>568</v>
      </c>
      <c r="B55" s="525">
        <v>0</v>
      </c>
      <c r="C55" s="525">
        <v>0</v>
      </c>
      <c r="D55" s="525">
        <v>290</v>
      </c>
      <c r="E55" s="525">
        <v>290</v>
      </c>
      <c r="F55" s="526">
        <v>290</v>
      </c>
      <c r="G55" s="525">
        <v>290</v>
      </c>
      <c r="H55" s="525">
        <v>290</v>
      </c>
      <c r="I55" s="525">
        <v>290</v>
      </c>
      <c r="J55" s="525"/>
      <c r="K55" s="525"/>
      <c r="L55" s="221"/>
      <c r="M55" s="525"/>
      <c r="N55" s="527">
        <f t="shared" si="18"/>
        <v>1740</v>
      </c>
    </row>
    <row r="56" spans="1:15">
      <c r="A56" s="249" t="s">
        <v>1141</v>
      </c>
      <c r="B56" s="525"/>
      <c r="C56" s="525"/>
      <c r="D56" s="525"/>
      <c r="E56" s="525">
        <v>0</v>
      </c>
      <c r="F56" s="526">
        <v>0</v>
      </c>
      <c r="G56" s="525">
        <v>0</v>
      </c>
      <c r="H56" s="525">
        <v>0</v>
      </c>
      <c r="I56" s="525"/>
      <c r="J56" s="525"/>
      <c r="K56" s="525"/>
      <c r="L56" s="221"/>
      <c r="M56" s="525"/>
      <c r="N56" s="527">
        <f t="shared" si="18"/>
        <v>0</v>
      </c>
    </row>
    <row r="57" spans="1:15">
      <c r="A57" s="101" t="s">
        <v>558</v>
      </c>
      <c r="B57" s="525"/>
      <c r="C57" s="525"/>
      <c r="D57" s="525"/>
      <c r="E57" s="525">
        <v>0</v>
      </c>
      <c r="F57" s="526">
        <v>122994.11</v>
      </c>
      <c r="G57" s="525">
        <v>0</v>
      </c>
      <c r="H57" s="525">
        <v>0</v>
      </c>
      <c r="I57" s="525"/>
      <c r="J57" s="525"/>
      <c r="K57" s="525"/>
      <c r="L57" s="221"/>
      <c r="M57" s="525"/>
      <c r="N57" s="527">
        <f t="shared" si="18"/>
        <v>122994.11</v>
      </c>
    </row>
    <row r="58" spans="1:15">
      <c r="A58" s="101" t="s">
        <v>550</v>
      </c>
      <c r="B58" s="525"/>
      <c r="C58" s="525"/>
      <c r="D58" s="525"/>
      <c r="E58" s="525">
        <v>0</v>
      </c>
      <c r="F58" s="526">
        <v>0</v>
      </c>
      <c r="G58" s="525">
        <v>0</v>
      </c>
      <c r="H58" s="525">
        <v>0</v>
      </c>
      <c r="I58" s="525"/>
      <c r="J58" s="525"/>
      <c r="K58" s="525"/>
      <c r="L58" s="221"/>
      <c r="M58" s="525"/>
      <c r="N58" s="527">
        <f t="shared" si="18"/>
        <v>0</v>
      </c>
    </row>
    <row r="59" spans="1:15">
      <c r="A59" s="101" t="s">
        <v>491</v>
      </c>
      <c r="B59" s="525"/>
      <c r="C59" s="525"/>
      <c r="D59" s="525"/>
      <c r="E59" s="525">
        <v>0</v>
      </c>
      <c r="F59" s="526">
        <v>0</v>
      </c>
      <c r="G59" s="525">
        <v>0</v>
      </c>
      <c r="H59" s="525">
        <v>0</v>
      </c>
      <c r="I59" s="525"/>
      <c r="J59" s="525"/>
      <c r="K59" s="525"/>
      <c r="L59" s="221"/>
      <c r="M59" s="525"/>
      <c r="N59" s="527">
        <f t="shared" si="18"/>
        <v>0</v>
      </c>
    </row>
    <row r="60" spans="1:15">
      <c r="A60" s="101" t="s">
        <v>492</v>
      </c>
      <c r="B60" s="525">
        <v>123774.11</v>
      </c>
      <c r="C60" s="525">
        <v>0</v>
      </c>
      <c r="D60" s="525">
        <v>570051.04</v>
      </c>
      <c r="E60" s="525">
        <v>786765.88</v>
      </c>
      <c r="F60" s="526">
        <v>786765.38</v>
      </c>
      <c r="G60" s="525">
        <v>481021.06</v>
      </c>
      <c r="H60" s="525">
        <v>78064.759999999995</v>
      </c>
      <c r="I60" s="525"/>
      <c r="J60" s="525">
        <v>268125.8</v>
      </c>
      <c r="K60" s="525">
        <v>20332.18</v>
      </c>
      <c r="L60" s="221"/>
      <c r="M60" s="525"/>
      <c r="N60" s="527">
        <f t="shared" si="18"/>
        <v>3114900.21</v>
      </c>
    </row>
    <row r="61" spans="1:15">
      <c r="A61" s="101" t="s">
        <v>569</v>
      </c>
      <c r="B61" s="525">
        <v>237588.56</v>
      </c>
      <c r="C61" s="525">
        <v>0</v>
      </c>
      <c r="D61" s="525">
        <v>0</v>
      </c>
      <c r="E61" s="525">
        <v>0</v>
      </c>
      <c r="F61" s="526">
        <v>0</v>
      </c>
      <c r="G61" s="525">
        <v>0</v>
      </c>
      <c r="H61" s="525">
        <v>0</v>
      </c>
      <c r="I61" s="525"/>
      <c r="J61" s="525"/>
      <c r="K61" s="525"/>
      <c r="L61" s="221"/>
      <c r="M61" s="525"/>
      <c r="N61" s="527">
        <f t="shared" si="18"/>
        <v>237588.56</v>
      </c>
    </row>
    <row r="62" spans="1:15">
      <c r="A62" s="249" t="s">
        <v>1142</v>
      </c>
      <c r="B62" s="525"/>
      <c r="C62" s="525"/>
      <c r="D62" s="525"/>
      <c r="E62" s="525">
        <v>3750566.83</v>
      </c>
      <c r="F62" s="526">
        <v>1749858.38</v>
      </c>
      <c r="G62" s="525">
        <v>578218.18000000005</v>
      </c>
      <c r="H62" s="525">
        <v>0</v>
      </c>
      <c r="I62" s="525"/>
      <c r="J62" s="525"/>
      <c r="K62" s="525">
        <v>1497499.58</v>
      </c>
      <c r="L62" s="221"/>
      <c r="M62" s="525">
        <v>1468923.98</v>
      </c>
      <c r="N62" s="527">
        <f t="shared" si="18"/>
        <v>9045066.9499999993</v>
      </c>
    </row>
    <row r="63" spans="1:15">
      <c r="A63" s="197" t="s">
        <v>24</v>
      </c>
      <c r="B63" s="528">
        <f>SUM(B64:B97)</f>
        <v>10349105.199999999</v>
      </c>
      <c r="C63" s="528">
        <f>SUM(C64:C97)</f>
        <v>10901476.4</v>
      </c>
      <c r="D63" s="528">
        <f>SUM(D64:D97)</f>
        <v>10020094.959999999</v>
      </c>
      <c r="E63" s="528">
        <f>SUM(E64:E97)</f>
        <v>10408652.640000001</v>
      </c>
      <c r="F63" s="528">
        <f t="shared" ref="F63:N63" si="19">SUM(F64:F97)</f>
        <v>13868978.65</v>
      </c>
      <c r="G63" s="528">
        <f t="shared" si="19"/>
        <v>18770980.919999998</v>
      </c>
      <c r="H63" s="528">
        <f t="shared" si="19"/>
        <v>33215716.73</v>
      </c>
      <c r="I63" s="528">
        <f t="shared" si="19"/>
        <v>9021946.0499999989</v>
      </c>
      <c r="J63" s="528">
        <f t="shared" ref="J63" si="20">SUM(J64:J97)</f>
        <v>33989027.579999998</v>
      </c>
      <c r="K63" s="528">
        <f t="shared" si="19"/>
        <v>10087579.630000001</v>
      </c>
      <c r="L63" s="531">
        <f t="shared" si="19"/>
        <v>9911279.7599999998</v>
      </c>
      <c r="M63" s="528">
        <f t="shared" ref="M63" si="21">SUM(M64:M97)</f>
        <v>25715855.809999999</v>
      </c>
      <c r="N63" s="528">
        <f t="shared" si="19"/>
        <v>196260694.32999998</v>
      </c>
    </row>
    <row r="64" spans="1:15">
      <c r="A64" s="101" t="s">
        <v>358</v>
      </c>
      <c r="B64" s="525">
        <v>6473750.21</v>
      </c>
      <c r="C64" s="525">
        <v>5220257</v>
      </c>
      <c r="D64" s="525">
        <v>6267043.96</v>
      </c>
      <c r="E64" s="525">
        <v>6491618</v>
      </c>
      <c r="F64" s="526">
        <v>6992048.7000000002</v>
      </c>
      <c r="G64" s="525">
        <v>6309957.5999999996</v>
      </c>
      <c r="H64" s="525">
        <v>7169282.0499999998</v>
      </c>
      <c r="I64" s="525">
        <v>6985421</v>
      </c>
      <c r="J64" s="525">
        <v>6996092.2599999998</v>
      </c>
      <c r="K64" s="525">
        <v>6147753</v>
      </c>
      <c r="L64" s="221">
        <v>6113331.8899999997</v>
      </c>
      <c r="M64" s="525">
        <v>13380769</v>
      </c>
      <c r="N64" s="527">
        <f t="shared" ref="N64:N97" si="22">SUM(B64:M64)</f>
        <v>84547324.669999987</v>
      </c>
      <c r="O64" s="251"/>
    </row>
    <row r="65" spans="1:14">
      <c r="A65" s="101" t="s">
        <v>515</v>
      </c>
      <c r="B65" s="525"/>
      <c r="C65" s="525"/>
      <c r="D65" s="525"/>
      <c r="E65" s="525">
        <v>0</v>
      </c>
      <c r="F65" s="526">
        <v>0</v>
      </c>
      <c r="G65" s="525">
        <v>75310.399999999994</v>
      </c>
      <c r="H65" s="525">
        <v>0</v>
      </c>
      <c r="I65" s="525"/>
      <c r="J65" s="525">
        <v>145589</v>
      </c>
      <c r="K65" s="525"/>
      <c r="L65" s="221">
        <v>108012</v>
      </c>
      <c r="M65" s="525">
        <v>228362</v>
      </c>
      <c r="N65" s="527">
        <f t="shared" si="22"/>
        <v>557273.4</v>
      </c>
    </row>
    <row r="66" spans="1:14">
      <c r="A66" s="101" t="s">
        <v>502</v>
      </c>
      <c r="B66" s="525"/>
      <c r="C66" s="525"/>
      <c r="D66" s="525"/>
      <c r="E66" s="525">
        <v>0</v>
      </c>
      <c r="F66" s="526">
        <v>0</v>
      </c>
      <c r="G66" s="525">
        <v>0</v>
      </c>
      <c r="H66" s="525">
        <v>0</v>
      </c>
      <c r="I66" s="525"/>
      <c r="J66" s="525"/>
      <c r="K66" s="525"/>
      <c r="L66" s="221"/>
      <c r="M66" s="525"/>
      <c r="N66" s="527">
        <f t="shared" si="22"/>
        <v>0</v>
      </c>
    </row>
    <row r="67" spans="1:14">
      <c r="A67" s="101" t="s">
        <v>497</v>
      </c>
      <c r="B67" s="525"/>
      <c r="C67" s="525"/>
      <c r="D67" s="525"/>
      <c r="E67" s="525">
        <v>0</v>
      </c>
      <c r="F67" s="526">
        <v>0</v>
      </c>
      <c r="G67" s="525">
        <v>0</v>
      </c>
      <c r="H67" s="525">
        <v>0</v>
      </c>
      <c r="I67" s="525"/>
      <c r="J67" s="525"/>
      <c r="K67" s="525"/>
      <c r="L67" s="221"/>
      <c r="M67" s="525"/>
      <c r="N67" s="527">
        <f t="shared" si="22"/>
        <v>0</v>
      </c>
    </row>
    <row r="68" spans="1:14">
      <c r="A68" s="101" t="s">
        <v>571</v>
      </c>
      <c r="B68" s="525">
        <v>0</v>
      </c>
      <c r="C68" s="525">
        <v>885776</v>
      </c>
      <c r="D68" s="525">
        <v>160080</v>
      </c>
      <c r="E68" s="525">
        <v>0</v>
      </c>
      <c r="F68" s="526">
        <v>0</v>
      </c>
      <c r="G68" s="525">
        <v>0</v>
      </c>
      <c r="H68" s="525">
        <v>1140001.6000000001</v>
      </c>
      <c r="I68" s="525"/>
      <c r="J68" s="525"/>
      <c r="K68" s="525">
        <v>928580</v>
      </c>
      <c r="L68" s="221"/>
      <c r="M68" s="525"/>
      <c r="N68" s="527">
        <f t="shared" si="22"/>
        <v>3114437.6</v>
      </c>
    </row>
    <row r="69" spans="1:14">
      <c r="A69" s="249" t="s">
        <v>1143</v>
      </c>
      <c r="B69" s="525">
        <v>0</v>
      </c>
      <c r="C69" s="525">
        <v>0</v>
      </c>
      <c r="D69" s="525">
        <v>34800</v>
      </c>
      <c r="E69" s="525">
        <v>823548.46</v>
      </c>
      <c r="F69" s="526">
        <v>886437.13</v>
      </c>
      <c r="G69" s="525">
        <v>397694.4</v>
      </c>
      <c r="H69" s="525">
        <v>792477.13</v>
      </c>
      <c r="I69" s="525">
        <v>93960</v>
      </c>
      <c r="J69" s="525">
        <v>187920</v>
      </c>
      <c r="K69" s="525">
        <v>1388520</v>
      </c>
      <c r="L69" s="221">
        <v>971349.13</v>
      </c>
      <c r="M69" s="525">
        <v>1142832</v>
      </c>
      <c r="N69" s="527">
        <f t="shared" si="22"/>
        <v>6719538.2499999991</v>
      </c>
    </row>
    <row r="70" spans="1:14">
      <c r="A70" s="101" t="s">
        <v>503</v>
      </c>
      <c r="B70" s="525"/>
      <c r="C70" s="525"/>
      <c r="D70" s="525"/>
      <c r="E70" s="525">
        <v>0</v>
      </c>
      <c r="F70" s="526">
        <v>0</v>
      </c>
      <c r="G70" s="525">
        <v>0</v>
      </c>
      <c r="H70" s="525">
        <v>0</v>
      </c>
      <c r="I70" s="525"/>
      <c r="J70" s="525"/>
      <c r="K70" s="525"/>
      <c r="L70" s="221"/>
      <c r="M70" s="525"/>
      <c r="N70" s="527">
        <f t="shared" si="22"/>
        <v>0</v>
      </c>
    </row>
    <row r="71" spans="1:14">
      <c r="A71" s="101" t="s">
        <v>498</v>
      </c>
      <c r="B71" s="525"/>
      <c r="C71" s="525"/>
      <c r="D71" s="525"/>
      <c r="E71" s="525">
        <v>0</v>
      </c>
      <c r="F71" s="526">
        <v>0</v>
      </c>
      <c r="G71" s="525">
        <v>0</v>
      </c>
      <c r="H71" s="525">
        <v>0</v>
      </c>
      <c r="I71" s="525"/>
      <c r="J71" s="525"/>
      <c r="K71" s="525"/>
      <c r="L71" s="221"/>
      <c r="M71" s="525"/>
      <c r="N71" s="527">
        <f t="shared" si="22"/>
        <v>0</v>
      </c>
    </row>
    <row r="72" spans="1:14">
      <c r="A72" s="101" t="s">
        <v>572</v>
      </c>
      <c r="B72" s="525"/>
      <c r="C72" s="525"/>
      <c r="D72" s="525"/>
      <c r="E72" s="525">
        <v>0</v>
      </c>
      <c r="F72" s="526">
        <v>0</v>
      </c>
      <c r="G72" s="525">
        <v>0</v>
      </c>
      <c r="H72" s="525">
        <v>0</v>
      </c>
      <c r="I72" s="525"/>
      <c r="J72" s="525"/>
      <c r="K72" s="525"/>
      <c r="L72" s="221"/>
      <c r="M72" s="525"/>
      <c r="N72" s="527">
        <f t="shared" si="22"/>
        <v>0</v>
      </c>
    </row>
    <row r="73" spans="1:14">
      <c r="A73" s="249" t="s">
        <v>1144</v>
      </c>
      <c r="B73" s="525">
        <v>0</v>
      </c>
      <c r="C73" s="525">
        <v>240000</v>
      </c>
      <c r="D73" s="525">
        <v>120000</v>
      </c>
      <c r="E73" s="525">
        <v>120000</v>
      </c>
      <c r="F73" s="526">
        <v>120000</v>
      </c>
      <c r="G73" s="525">
        <v>120000</v>
      </c>
      <c r="H73" s="525">
        <v>120000</v>
      </c>
      <c r="I73" s="525">
        <v>120000</v>
      </c>
      <c r="J73" s="525">
        <v>120000</v>
      </c>
      <c r="K73" s="525">
        <v>120000</v>
      </c>
      <c r="L73" s="221">
        <v>120000</v>
      </c>
      <c r="M73" s="525">
        <v>120000</v>
      </c>
      <c r="N73" s="527">
        <f t="shared" si="22"/>
        <v>1440000</v>
      </c>
    </row>
    <row r="74" spans="1:14">
      <c r="A74" s="101" t="s">
        <v>504</v>
      </c>
      <c r="B74" s="525"/>
      <c r="C74" s="525"/>
      <c r="D74" s="525"/>
      <c r="E74" s="525">
        <v>0</v>
      </c>
      <c r="F74" s="526">
        <v>0</v>
      </c>
      <c r="G74" s="525">
        <v>0</v>
      </c>
      <c r="H74" s="525">
        <v>0</v>
      </c>
      <c r="I74" s="525"/>
      <c r="J74" s="525"/>
      <c r="K74" s="525"/>
      <c r="L74" s="221"/>
      <c r="M74" s="525"/>
      <c r="N74" s="527">
        <f t="shared" si="22"/>
        <v>0</v>
      </c>
    </row>
    <row r="75" spans="1:14">
      <c r="A75" s="101" t="s">
        <v>499</v>
      </c>
      <c r="B75" s="525">
        <v>0</v>
      </c>
      <c r="C75" s="525">
        <v>0</v>
      </c>
      <c r="D75" s="525"/>
      <c r="E75" s="525">
        <v>0</v>
      </c>
      <c r="F75" s="526">
        <v>0</v>
      </c>
      <c r="G75" s="525">
        <v>0</v>
      </c>
      <c r="H75" s="525">
        <v>0</v>
      </c>
      <c r="I75" s="525"/>
      <c r="J75" s="525"/>
      <c r="K75" s="525"/>
      <c r="L75" s="221"/>
      <c r="M75" s="525"/>
      <c r="N75" s="527">
        <f t="shared" si="22"/>
        <v>0</v>
      </c>
    </row>
    <row r="76" spans="1:14">
      <c r="A76" s="101" t="s">
        <v>573</v>
      </c>
      <c r="B76" s="525">
        <v>479120.23</v>
      </c>
      <c r="C76" s="525">
        <v>233820.96</v>
      </c>
      <c r="D76" s="525">
        <v>73990.600000000006</v>
      </c>
      <c r="E76" s="525">
        <v>0</v>
      </c>
      <c r="F76" s="526">
        <v>93804.24</v>
      </c>
      <c r="G76" s="525">
        <v>5858</v>
      </c>
      <c r="H76" s="525">
        <v>452.4</v>
      </c>
      <c r="I76" s="525"/>
      <c r="J76" s="525"/>
      <c r="K76" s="525"/>
      <c r="L76" s="221"/>
      <c r="M76" s="525"/>
      <c r="N76" s="527">
        <f t="shared" si="22"/>
        <v>887046.42999999993</v>
      </c>
    </row>
    <row r="77" spans="1:14">
      <c r="A77" s="249" t="s">
        <v>1151</v>
      </c>
      <c r="B77" s="525">
        <v>0</v>
      </c>
      <c r="C77" s="525">
        <v>958417.72</v>
      </c>
      <c r="D77" s="525"/>
      <c r="E77" s="525">
        <v>341224.78</v>
      </c>
      <c r="F77" s="526">
        <v>296827.18</v>
      </c>
      <c r="G77" s="525">
        <v>582293.31999999995</v>
      </c>
      <c r="H77" s="525">
        <v>1347720.11</v>
      </c>
      <c r="I77" s="525">
        <v>354951.85</v>
      </c>
      <c r="J77" s="525">
        <v>377564.92</v>
      </c>
      <c r="K77" s="525">
        <v>222865.23</v>
      </c>
      <c r="L77" s="221">
        <v>418725.34</v>
      </c>
      <c r="M77" s="525">
        <v>397364.41</v>
      </c>
      <c r="N77" s="527">
        <f t="shared" si="22"/>
        <v>5297954.8600000013</v>
      </c>
    </row>
    <row r="78" spans="1:14">
      <c r="A78" s="101" t="s">
        <v>491</v>
      </c>
      <c r="B78" s="525"/>
      <c r="C78" s="525"/>
      <c r="D78" s="525"/>
      <c r="E78" s="525">
        <v>0</v>
      </c>
      <c r="F78" s="526">
        <v>0</v>
      </c>
      <c r="G78" s="525">
        <v>0</v>
      </c>
      <c r="H78" s="525">
        <v>0</v>
      </c>
      <c r="I78" s="525"/>
      <c r="J78" s="525"/>
      <c r="K78" s="525"/>
      <c r="L78" s="221"/>
      <c r="M78" s="525"/>
      <c r="N78" s="527">
        <f t="shared" si="22"/>
        <v>0</v>
      </c>
    </row>
    <row r="79" spans="1:14">
      <c r="A79" s="101" t="s">
        <v>492</v>
      </c>
      <c r="B79" s="525"/>
      <c r="C79" s="525"/>
      <c r="D79" s="525"/>
      <c r="E79" s="525">
        <v>0</v>
      </c>
      <c r="F79" s="525">
        <v>0</v>
      </c>
      <c r="G79" s="525">
        <v>0</v>
      </c>
      <c r="H79" s="525">
        <v>0</v>
      </c>
      <c r="I79" s="525"/>
      <c r="J79" s="525"/>
      <c r="K79" s="525"/>
      <c r="L79" s="221"/>
      <c r="M79" s="525"/>
      <c r="N79" s="527">
        <f t="shared" si="22"/>
        <v>0</v>
      </c>
    </row>
    <row r="80" spans="1:14">
      <c r="A80" s="101" t="s">
        <v>569</v>
      </c>
      <c r="B80" s="525"/>
      <c r="C80" s="525"/>
      <c r="D80" s="525"/>
      <c r="E80" s="525">
        <v>0</v>
      </c>
      <c r="F80" s="526">
        <v>0</v>
      </c>
      <c r="G80" s="525">
        <v>0</v>
      </c>
      <c r="H80" s="525">
        <v>0</v>
      </c>
      <c r="I80" s="525"/>
      <c r="J80" s="525"/>
      <c r="K80" s="525"/>
      <c r="L80" s="221"/>
      <c r="M80" s="525"/>
      <c r="N80" s="527">
        <f t="shared" si="22"/>
        <v>0</v>
      </c>
    </row>
    <row r="81" spans="1:14">
      <c r="A81" s="101" t="s">
        <v>501</v>
      </c>
      <c r="B81" s="525"/>
      <c r="C81" s="525"/>
      <c r="D81" s="525"/>
      <c r="E81" s="525">
        <v>0</v>
      </c>
      <c r="F81" s="526">
        <v>0</v>
      </c>
      <c r="G81" s="525">
        <v>0</v>
      </c>
      <c r="H81" s="525">
        <v>0</v>
      </c>
      <c r="I81" s="525"/>
      <c r="J81" s="525"/>
      <c r="K81" s="525"/>
      <c r="L81" s="221"/>
      <c r="M81" s="525"/>
      <c r="N81" s="527">
        <f t="shared" si="22"/>
        <v>0</v>
      </c>
    </row>
    <row r="82" spans="1:14">
      <c r="A82" s="101" t="s">
        <v>500</v>
      </c>
      <c r="B82" s="525"/>
      <c r="C82" s="525"/>
      <c r="D82" s="525"/>
      <c r="E82" s="525">
        <v>0</v>
      </c>
      <c r="F82" s="526">
        <v>0</v>
      </c>
      <c r="G82" s="525">
        <v>0</v>
      </c>
      <c r="H82" s="525">
        <v>0</v>
      </c>
      <c r="I82" s="525"/>
      <c r="J82" s="525"/>
      <c r="K82" s="525"/>
      <c r="L82" s="221"/>
      <c r="M82" s="525"/>
      <c r="N82" s="527">
        <f t="shared" si="22"/>
        <v>0</v>
      </c>
    </row>
    <row r="83" spans="1:14">
      <c r="A83" s="101" t="s">
        <v>570</v>
      </c>
      <c r="B83" s="525">
        <v>33034.559999999998</v>
      </c>
      <c r="C83" s="525">
        <v>0</v>
      </c>
      <c r="D83" s="525">
        <v>0</v>
      </c>
      <c r="E83" s="525">
        <v>1352400</v>
      </c>
      <c r="F83" s="526">
        <v>0</v>
      </c>
      <c r="G83" s="525">
        <v>0</v>
      </c>
      <c r="H83" s="525">
        <v>43500</v>
      </c>
      <c r="I83" s="525"/>
      <c r="J83" s="525">
        <v>-43500</v>
      </c>
      <c r="K83" s="525"/>
      <c r="L83" s="221"/>
      <c r="M83" s="525"/>
      <c r="N83" s="527">
        <f t="shared" si="22"/>
        <v>1385434.56</v>
      </c>
    </row>
    <row r="84" spans="1:14">
      <c r="A84" s="249" t="s">
        <v>1145</v>
      </c>
      <c r="B84" s="525"/>
      <c r="C84" s="525"/>
      <c r="D84" s="525"/>
      <c r="E84" s="525">
        <v>0</v>
      </c>
      <c r="F84" s="526">
        <v>0</v>
      </c>
      <c r="G84" s="525">
        <v>0</v>
      </c>
      <c r="H84" s="525">
        <v>1322422.04</v>
      </c>
      <c r="I84" s="525">
        <v>187751.8</v>
      </c>
      <c r="J84" s="525">
        <v>43500</v>
      </c>
      <c r="K84" s="525"/>
      <c r="L84" s="221"/>
      <c r="M84" s="525"/>
      <c r="N84" s="527">
        <f t="shared" si="22"/>
        <v>1553673.84</v>
      </c>
    </row>
    <row r="85" spans="1:14">
      <c r="A85" s="101" t="s">
        <v>596</v>
      </c>
      <c r="B85" s="525">
        <v>5.8</v>
      </c>
      <c r="C85" s="525">
        <v>0</v>
      </c>
      <c r="D85" s="525">
        <v>0</v>
      </c>
      <c r="E85" s="525">
        <v>0</v>
      </c>
      <c r="F85" s="526">
        <v>0</v>
      </c>
      <c r="G85" s="525">
        <v>0</v>
      </c>
      <c r="H85" s="525">
        <v>0</v>
      </c>
      <c r="I85" s="525"/>
      <c r="J85" s="525"/>
      <c r="K85" s="525"/>
      <c r="L85" s="221"/>
      <c r="M85" s="525"/>
      <c r="N85" s="527">
        <f t="shared" si="22"/>
        <v>5.8</v>
      </c>
    </row>
    <row r="86" spans="1:14">
      <c r="A86" s="101" t="s">
        <v>490</v>
      </c>
      <c r="B86" s="525"/>
      <c r="C86" s="525"/>
      <c r="D86" s="525"/>
      <c r="E86" s="525">
        <v>0</v>
      </c>
      <c r="F86" s="526">
        <v>0</v>
      </c>
      <c r="G86" s="525">
        <v>0</v>
      </c>
      <c r="H86" s="525">
        <v>0</v>
      </c>
      <c r="I86" s="525"/>
      <c r="J86" s="525"/>
      <c r="K86" s="525"/>
      <c r="L86" s="221"/>
      <c r="M86" s="525"/>
      <c r="N86" s="527">
        <f t="shared" si="22"/>
        <v>0</v>
      </c>
    </row>
    <row r="87" spans="1:14">
      <c r="A87" s="101" t="s">
        <v>568</v>
      </c>
      <c r="B87" s="525">
        <v>0</v>
      </c>
      <c r="C87" s="525">
        <v>10.32</v>
      </c>
      <c r="D87" s="525">
        <v>986</v>
      </c>
      <c r="E87" s="525">
        <v>0</v>
      </c>
      <c r="F87" s="526">
        <v>0</v>
      </c>
      <c r="G87" s="525">
        <v>0</v>
      </c>
      <c r="H87" s="525">
        <v>0</v>
      </c>
      <c r="I87" s="525"/>
      <c r="J87" s="525"/>
      <c r="K87" s="525"/>
      <c r="L87" s="221"/>
      <c r="M87" s="525"/>
      <c r="N87" s="527">
        <f t="shared" si="22"/>
        <v>996.32</v>
      </c>
    </row>
    <row r="88" spans="1:14">
      <c r="A88" s="249" t="s">
        <v>1141</v>
      </c>
      <c r="B88" s="525"/>
      <c r="C88" s="525"/>
      <c r="D88" s="525"/>
      <c r="E88" s="525">
        <v>0</v>
      </c>
      <c r="F88" s="526">
        <v>0</v>
      </c>
      <c r="G88" s="525">
        <v>5.8</v>
      </c>
      <c r="H88" s="525">
        <v>0</v>
      </c>
      <c r="I88" s="525"/>
      <c r="J88" s="525"/>
      <c r="K88" s="525"/>
      <c r="L88" s="221"/>
      <c r="M88" s="525"/>
      <c r="N88" s="527">
        <f t="shared" si="22"/>
        <v>5.8</v>
      </c>
    </row>
    <row r="89" spans="1:14">
      <c r="A89" s="101" t="s">
        <v>398</v>
      </c>
      <c r="B89" s="525"/>
      <c r="C89" s="525"/>
      <c r="D89" s="525"/>
      <c r="E89" s="525">
        <v>0</v>
      </c>
      <c r="F89" s="526">
        <v>0</v>
      </c>
      <c r="G89" s="525">
        <v>0</v>
      </c>
      <c r="H89" s="525">
        <v>0</v>
      </c>
      <c r="I89" s="525"/>
      <c r="J89" s="525"/>
      <c r="K89" s="525"/>
      <c r="L89" s="221"/>
      <c r="M89" s="525"/>
      <c r="N89" s="527">
        <f t="shared" si="22"/>
        <v>0</v>
      </c>
    </row>
    <row r="90" spans="1:14">
      <c r="A90" s="101" t="s">
        <v>301</v>
      </c>
      <c r="B90" s="525"/>
      <c r="C90" s="525"/>
      <c r="D90" s="525"/>
      <c r="E90" s="525">
        <v>0</v>
      </c>
      <c r="F90" s="526">
        <v>0</v>
      </c>
      <c r="G90" s="525">
        <v>0</v>
      </c>
      <c r="H90" s="525">
        <v>0</v>
      </c>
      <c r="I90" s="525"/>
      <c r="J90" s="525"/>
      <c r="K90" s="525"/>
      <c r="L90" s="221"/>
      <c r="M90" s="525"/>
      <c r="N90" s="527">
        <f t="shared" si="22"/>
        <v>0</v>
      </c>
    </row>
    <row r="91" spans="1:14">
      <c r="A91" s="101" t="s">
        <v>464</v>
      </c>
      <c r="B91" s="525">
        <v>2916666</v>
      </c>
      <c r="C91" s="525">
        <v>2916666</v>
      </c>
      <c r="D91" s="525">
        <v>2916666</v>
      </c>
      <c r="E91" s="525">
        <v>833333</v>
      </c>
      <c r="F91" s="526">
        <v>3833333</v>
      </c>
      <c r="G91" s="525">
        <v>10833333</v>
      </c>
      <c r="H91" s="525">
        <v>20833333</v>
      </c>
      <c r="I91" s="525">
        <v>833333</v>
      </c>
      <c r="J91" s="525">
        <v>24815333</v>
      </c>
      <c r="K91" s="525">
        <v>833333</v>
      </c>
      <c r="L91" s="527">
        <v>833333</v>
      </c>
      <c r="M91" s="525">
        <v>10000000</v>
      </c>
      <c r="N91" s="527">
        <f t="shared" si="22"/>
        <v>82398662</v>
      </c>
    </row>
    <row r="92" spans="1:14">
      <c r="A92" s="101" t="s">
        <v>439</v>
      </c>
      <c r="B92" s="525"/>
      <c r="C92" s="525"/>
      <c r="D92" s="525"/>
      <c r="E92" s="525">
        <v>0</v>
      </c>
      <c r="F92" s="526">
        <v>0</v>
      </c>
      <c r="G92" s="525">
        <v>0</v>
      </c>
      <c r="H92" s="525">
        <v>0</v>
      </c>
      <c r="I92" s="525"/>
      <c r="J92" s="525"/>
      <c r="K92" s="525"/>
      <c r="L92" s="221"/>
      <c r="M92" s="525"/>
      <c r="N92" s="527">
        <f t="shared" si="22"/>
        <v>0</v>
      </c>
    </row>
    <row r="93" spans="1:14">
      <c r="A93" s="101" t="s">
        <v>544</v>
      </c>
      <c r="B93" s="525"/>
      <c r="C93" s="525"/>
      <c r="D93" s="525"/>
      <c r="E93" s="525">
        <v>0</v>
      </c>
      <c r="F93" s="526">
        <v>1200000</v>
      </c>
      <c r="G93" s="525">
        <v>0</v>
      </c>
      <c r="H93" s="525">
        <v>0</v>
      </c>
      <c r="I93" s="525"/>
      <c r="J93" s="525">
        <v>900000</v>
      </c>
      <c r="K93" s="525"/>
      <c r="L93" s="221">
        <v>900000</v>
      </c>
      <c r="M93" s="525"/>
      <c r="N93" s="527">
        <f t="shared" si="22"/>
        <v>3000000</v>
      </c>
    </row>
    <row r="94" spans="1:14">
      <c r="A94" s="101" t="s">
        <v>552</v>
      </c>
      <c r="B94" s="525"/>
      <c r="C94" s="525"/>
      <c r="D94" s="525"/>
      <c r="E94" s="525">
        <v>0</v>
      </c>
      <c r="F94" s="526">
        <v>0</v>
      </c>
      <c r="G94" s="525">
        <v>0</v>
      </c>
      <c r="H94" s="525">
        <v>0</v>
      </c>
      <c r="I94" s="525"/>
      <c r="J94" s="525"/>
      <c r="K94" s="525"/>
      <c r="L94" s="221"/>
      <c r="M94" s="525"/>
      <c r="N94" s="527">
        <f t="shared" si="22"/>
        <v>0</v>
      </c>
    </row>
    <row r="95" spans="1:14">
      <c r="A95" s="101" t="s">
        <v>539</v>
      </c>
      <c r="B95" s="525"/>
      <c r="C95" s="525"/>
      <c r="D95" s="525"/>
      <c r="E95" s="525">
        <v>0</v>
      </c>
      <c r="F95" s="526">
        <v>0</v>
      </c>
      <c r="G95" s="525">
        <v>0</v>
      </c>
      <c r="H95" s="525">
        <v>0</v>
      </c>
      <c r="I95" s="525"/>
      <c r="J95" s="525"/>
      <c r="K95" s="525"/>
      <c r="L95" s="221"/>
      <c r="M95" s="525"/>
      <c r="N95" s="527">
        <f t="shared" si="22"/>
        <v>0</v>
      </c>
    </row>
    <row r="96" spans="1:14">
      <c r="A96" s="101" t="s">
        <v>540</v>
      </c>
      <c r="B96" s="525"/>
      <c r="C96" s="525"/>
      <c r="D96" s="525"/>
      <c r="E96" s="525">
        <v>0</v>
      </c>
      <c r="F96" s="526">
        <v>0</v>
      </c>
      <c r="G96" s="525">
        <v>0</v>
      </c>
      <c r="H96" s="525">
        <v>0</v>
      </c>
      <c r="I96" s="525"/>
      <c r="J96" s="525"/>
      <c r="K96" s="525"/>
      <c r="L96" s="221"/>
      <c r="M96" s="525"/>
      <c r="N96" s="527">
        <f t="shared" si="22"/>
        <v>0</v>
      </c>
    </row>
    <row r="97" spans="1:14">
      <c r="A97" s="101" t="s">
        <v>597</v>
      </c>
      <c r="B97" s="525">
        <v>446528.4</v>
      </c>
      <c r="C97" s="525">
        <v>446528.4</v>
      </c>
      <c r="D97" s="525">
        <v>446528.4</v>
      </c>
      <c r="E97" s="525">
        <v>446528.4</v>
      </c>
      <c r="F97" s="526">
        <v>446528.4</v>
      </c>
      <c r="G97" s="525">
        <v>446528.4</v>
      </c>
      <c r="H97" s="525">
        <v>446528.4</v>
      </c>
      <c r="I97" s="525">
        <v>446528.4</v>
      </c>
      <c r="J97" s="525">
        <v>446528.4</v>
      </c>
      <c r="K97" s="525">
        <v>446528.4</v>
      </c>
      <c r="L97" s="221">
        <v>446528.4</v>
      </c>
      <c r="M97" s="525">
        <v>446528.4</v>
      </c>
      <c r="N97" s="527">
        <f t="shared" si="22"/>
        <v>5358340.8000000007</v>
      </c>
    </row>
    <row r="98" spans="1:14">
      <c r="A98" s="197" t="s">
        <v>128</v>
      </c>
      <c r="B98" s="528">
        <f>SUM(B99:B103)</f>
        <v>466967.62</v>
      </c>
      <c r="C98" s="528">
        <f t="shared" ref="C98:N98" si="23">SUM(C99:C103)</f>
        <v>2110817.38</v>
      </c>
      <c r="D98" s="528">
        <f t="shared" si="23"/>
        <v>955116.66</v>
      </c>
      <c r="E98" s="528">
        <f t="shared" si="23"/>
        <v>1172120.51</v>
      </c>
      <c r="F98" s="528">
        <f t="shared" si="23"/>
        <v>1153110.33</v>
      </c>
      <c r="G98" s="528">
        <f t="shared" si="23"/>
        <v>1326126.0900000001</v>
      </c>
      <c r="H98" s="528">
        <f t="shared" si="23"/>
        <v>1462763.24</v>
      </c>
      <c r="I98" s="528">
        <f t="shared" si="23"/>
        <v>1502209.71</v>
      </c>
      <c r="J98" s="528">
        <f t="shared" ref="J98" si="24">SUM(J99:J103)</f>
        <v>4786725.6500000004</v>
      </c>
      <c r="K98" s="528">
        <f t="shared" si="23"/>
        <v>6656627.9199999999</v>
      </c>
      <c r="L98" s="530">
        <f t="shared" si="23"/>
        <v>1713650.81</v>
      </c>
      <c r="M98" s="528">
        <f t="shared" ref="M98" si="25">SUM(M99:M103)</f>
        <v>56955657.140000001</v>
      </c>
      <c r="N98" s="531">
        <f t="shared" si="23"/>
        <v>80261893.060000002</v>
      </c>
    </row>
    <row r="99" spans="1:14">
      <c r="A99" s="101" t="s">
        <v>524</v>
      </c>
      <c r="B99" s="525"/>
      <c r="C99" s="525"/>
      <c r="D99" s="525"/>
      <c r="E99" s="525">
        <v>0</v>
      </c>
      <c r="F99" s="526">
        <v>0</v>
      </c>
      <c r="G99" s="525">
        <v>0</v>
      </c>
      <c r="H99" s="525"/>
      <c r="I99" s="525"/>
      <c r="J99" s="525">
        <v>3195000</v>
      </c>
      <c r="K99" s="525">
        <v>5182000</v>
      </c>
      <c r="L99" s="221">
        <v>176000</v>
      </c>
      <c r="M99" s="525">
        <v>55197813</v>
      </c>
      <c r="N99" s="527">
        <f>SUM(B99:M99)</f>
        <v>63750813</v>
      </c>
    </row>
    <row r="100" spans="1:14">
      <c r="A100" s="101" t="s">
        <v>523</v>
      </c>
      <c r="B100" s="525">
        <v>466967.62</v>
      </c>
      <c r="C100" s="525">
        <v>2110817.38</v>
      </c>
      <c r="D100" s="525">
        <v>955116.66</v>
      </c>
      <c r="E100" s="525">
        <v>1172120.51</v>
      </c>
      <c r="F100" s="526">
        <v>1153110.33</v>
      </c>
      <c r="G100" s="525">
        <v>1326126.0900000001</v>
      </c>
      <c r="H100" s="525">
        <v>1462763.24</v>
      </c>
      <c r="I100" s="525">
        <v>1502209.71</v>
      </c>
      <c r="J100" s="525">
        <v>1591725.6500000004</v>
      </c>
      <c r="K100" s="525">
        <v>1474627.92</v>
      </c>
      <c r="L100" s="221">
        <v>1537650.81</v>
      </c>
      <c r="M100" s="525">
        <f>1754093.78+3750.36</f>
        <v>1757844.1400000001</v>
      </c>
      <c r="N100" s="527">
        <f>SUM(B100:M100)</f>
        <v>16511080.060000001</v>
      </c>
    </row>
    <row r="101" spans="1:14" s="1" customFormat="1">
      <c r="A101" s="101" t="s">
        <v>359</v>
      </c>
      <c r="B101" s="525"/>
      <c r="C101" s="525"/>
      <c r="D101" s="525"/>
      <c r="E101" s="525">
        <v>0</v>
      </c>
      <c r="F101" s="526">
        <v>0</v>
      </c>
      <c r="G101" s="525">
        <v>0</v>
      </c>
      <c r="H101" s="525">
        <v>0</v>
      </c>
      <c r="I101" s="525">
        <v>0</v>
      </c>
      <c r="J101" s="525">
        <v>0</v>
      </c>
      <c r="K101" s="525">
        <v>0</v>
      </c>
      <c r="L101" s="221"/>
      <c r="M101" s="525"/>
      <c r="N101" s="527">
        <f>SUM(B101:M101)</f>
        <v>0</v>
      </c>
    </row>
    <row r="102" spans="1:14" s="1" customFormat="1">
      <c r="A102" s="101" t="s">
        <v>367</v>
      </c>
      <c r="B102" s="525"/>
      <c r="C102" s="525"/>
      <c r="D102" s="525"/>
      <c r="E102" s="525">
        <v>0</v>
      </c>
      <c r="F102" s="526">
        <v>0</v>
      </c>
      <c r="G102" s="525">
        <v>0</v>
      </c>
      <c r="H102" s="525">
        <v>0</v>
      </c>
      <c r="I102" s="525">
        <v>0</v>
      </c>
      <c r="J102" s="525">
        <v>0</v>
      </c>
      <c r="K102" s="525">
        <v>0</v>
      </c>
      <c r="L102" s="221"/>
      <c r="M102" s="525"/>
      <c r="N102" s="527">
        <f>SUM(B102:M102)</f>
        <v>0</v>
      </c>
    </row>
    <row r="103" spans="1:14" s="1" customFormat="1">
      <c r="A103" s="101" t="s">
        <v>399</v>
      </c>
      <c r="B103" s="525"/>
      <c r="C103" s="525"/>
      <c r="D103" s="525"/>
      <c r="E103" s="525">
        <v>0</v>
      </c>
      <c r="F103" s="526">
        <v>0</v>
      </c>
      <c r="G103" s="525">
        <v>0</v>
      </c>
      <c r="H103" s="525">
        <v>0</v>
      </c>
      <c r="I103" s="525">
        <v>0</v>
      </c>
      <c r="J103" s="525">
        <v>0</v>
      </c>
      <c r="K103" s="525">
        <v>0</v>
      </c>
      <c r="L103" s="221"/>
      <c r="M103" s="525"/>
      <c r="N103" s="527">
        <f>SUM(B103:M103)</f>
        <v>0</v>
      </c>
    </row>
    <row r="104" spans="1:14">
      <c r="A104" s="197" t="s">
        <v>26</v>
      </c>
      <c r="B104" s="528">
        <f t="shared" ref="B104:I104" si="26">SUM(B105:B152)</f>
        <v>14288328.180000002</v>
      </c>
      <c r="C104" s="528">
        <f t="shared" si="26"/>
        <v>6121507.1300000008</v>
      </c>
      <c r="D104" s="528">
        <f t="shared" si="26"/>
        <v>14847097.340000002</v>
      </c>
      <c r="E104" s="528">
        <f t="shared" si="26"/>
        <v>9273948.5599999987</v>
      </c>
      <c r="F104" s="528">
        <f t="shared" si="26"/>
        <v>12952612.98</v>
      </c>
      <c r="G104" s="528">
        <f t="shared" si="26"/>
        <v>27868852.229999997</v>
      </c>
      <c r="H104" s="528">
        <f t="shared" si="26"/>
        <v>7894143.4800000004</v>
      </c>
      <c r="I104" s="528">
        <f t="shared" si="26"/>
        <v>31242689.979999997</v>
      </c>
      <c r="J104" s="528">
        <f t="shared" ref="J104" si="27">SUM(J105:J153)</f>
        <v>12069330.369999999</v>
      </c>
      <c r="K104" s="528">
        <f>SUM(K105:K152)</f>
        <v>25867154.82</v>
      </c>
      <c r="L104" s="531">
        <f>SUM(L105:L152)</f>
        <v>34256413.799999997</v>
      </c>
      <c r="M104" s="528">
        <f>SUM(M105:M152)</f>
        <v>22903084.779999997</v>
      </c>
      <c r="N104" s="528">
        <f>SUM(N105:N152)</f>
        <v>219585163.64999998</v>
      </c>
    </row>
    <row r="105" spans="1:14" s="1" customFormat="1">
      <c r="A105" s="101" t="s">
        <v>168</v>
      </c>
      <c r="B105" s="525">
        <v>6760</v>
      </c>
      <c r="C105" s="525">
        <v>0</v>
      </c>
      <c r="D105" s="525">
        <v>257131.16</v>
      </c>
      <c r="E105" s="525">
        <v>503885.17</v>
      </c>
      <c r="F105" s="526">
        <v>12992.85</v>
      </c>
      <c r="G105" s="525">
        <v>456369.97</v>
      </c>
      <c r="H105" s="525">
        <v>69228.399999999994</v>
      </c>
      <c r="I105" s="525">
        <v>85260</v>
      </c>
      <c r="J105" s="525">
        <v>36540</v>
      </c>
      <c r="K105" s="525"/>
      <c r="L105" s="221"/>
      <c r="M105" s="525"/>
      <c r="N105" s="527">
        <f t="shared" ref="N105:N152" si="28">SUM(B105:M105)</f>
        <v>1428167.5499999998</v>
      </c>
    </row>
    <row r="106" spans="1:14">
      <c r="A106" s="101" t="s">
        <v>75</v>
      </c>
      <c r="B106" s="528"/>
      <c r="C106" s="528"/>
      <c r="D106" s="528"/>
      <c r="E106" s="525">
        <v>0</v>
      </c>
      <c r="F106" s="526">
        <v>0</v>
      </c>
      <c r="G106" s="525">
        <v>0</v>
      </c>
      <c r="H106" s="528">
        <v>0</v>
      </c>
      <c r="I106" s="528"/>
      <c r="J106" s="528"/>
      <c r="K106" s="528"/>
      <c r="L106" s="530"/>
      <c r="M106" s="528"/>
      <c r="N106" s="527">
        <f t="shared" si="28"/>
        <v>0</v>
      </c>
    </row>
    <row r="107" spans="1:14">
      <c r="A107" s="101" t="s">
        <v>347</v>
      </c>
      <c r="B107" s="528"/>
      <c r="C107" s="528"/>
      <c r="D107" s="528"/>
      <c r="E107" s="525">
        <v>0</v>
      </c>
      <c r="F107" s="526">
        <v>0</v>
      </c>
      <c r="G107" s="525">
        <v>0</v>
      </c>
      <c r="H107" s="528">
        <v>0</v>
      </c>
      <c r="I107" s="528"/>
      <c r="J107" s="528"/>
      <c r="K107" s="528"/>
      <c r="L107" s="530"/>
      <c r="M107" s="528"/>
      <c r="N107" s="527">
        <f t="shared" si="28"/>
        <v>0</v>
      </c>
    </row>
    <row r="108" spans="1:14">
      <c r="A108" s="101" t="s">
        <v>348</v>
      </c>
      <c r="B108" s="528"/>
      <c r="C108" s="528"/>
      <c r="D108" s="528"/>
      <c r="E108" s="525">
        <v>0</v>
      </c>
      <c r="F108" s="526">
        <v>0</v>
      </c>
      <c r="G108" s="525">
        <v>0</v>
      </c>
      <c r="H108" s="528">
        <v>0</v>
      </c>
      <c r="I108" s="528"/>
      <c r="J108" s="525"/>
      <c r="K108" s="528"/>
      <c r="L108" s="530"/>
      <c r="M108" s="528"/>
      <c r="N108" s="527">
        <f t="shared" si="28"/>
        <v>0</v>
      </c>
    </row>
    <row r="109" spans="1:14">
      <c r="A109" s="101" t="s">
        <v>293</v>
      </c>
      <c r="B109" s="525"/>
      <c r="C109" s="525"/>
      <c r="D109" s="525"/>
      <c r="E109" s="525">
        <v>0</v>
      </c>
      <c r="F109" s="526">
        <v>0</v>
      </c>
      <c r="G109" s="525">
        <v>0</v>
      </c>
      <c r="H109" s="525">
        <v>0</v>
      </c>
      <c r="I109" s="525"/>
      <c r="J109" s="525"/>
      <c r="K109" s="525"/>
      <c r="L109" s="221"/>
      <c r="M109" s="525"/>
      <c r="N109" s="527">
        <f t="shared" si="28"/>
        <v>0</v>
      </c>
    </row>
    <row r="110" spans="1:14">
      <c r="A110" s="101" t="s">
        <v>297</v>
      </c>
      <c r="B110" s="528"/>
      <c r="C110" s="528"/>
      <c r="D110" s="528"/>
      <c r="E110" s="525">
        <v>0</v>
      </c>
      <c r="F110" s="526">
        <v>0</v>
      </c>
      <c r="G110" s="525">
        <v>0</v>
      </c>
      <c r="H110" s="528">
        <v>0</v>
      </c>
      <c r="I110" s="528"/>
      <c r="J110" s="528"/>
      <c r="K110" s="528"/>
      <c r="L110" s="530"/>
      <c r="M110" s="528"/>
      <c r="N110" s="527">
        <f t="shared" si="28"/>
        <v>0</v>
      </c>
    </row>
    <row r="111" spans="1:14">
      <c r="A111" s="101" t="s">
        <v>303</v>
      </c>
      <c r="B111" s="525"/>
      <c r="C111" s="525"/>
      <c r="D111" s="525"/>
      <c r="E111" s="525">
        <v>0</v>
      </c>
      <c r="F111" s="526">
        <v>0</v>
      </c>
      <c r="G111" s="525">
        <v>0</v>
      </c>
      <c r="H111" s="525">
        <v>0</v>
      </c>
      <c r="I111" s="525"/>
      <c r="J111" s="525"/>
      <c r="K111" s="525"/>
      <c r="L111" s="221"/>
      <c r="M111" s="525"/>
      <c r="N111" s="527">
        <f t="shared" si="28"/>
        <v>0</v>
      </c>
    </row>
    <row r="112" spans="1:14">
      <c r="A112" s="101" t="s">
        <v>343</v>
      </c>
      <c r="B112" s="525"/>
      <c r="C112" s="525"/>
      <c r="D112" s="525"/>
      <c r="E112" s="525">
        <v>0</v>
      </c>
      <c r="F112" s="526">
        <v>0</v>
      </c>
      <c r="G112" s="525">
        <v>0</v>
      </c>
      <c r="H112" s="525">
        <v>0</v>
      </c>
      <c r="I112" s="525"/>
      <c r="J112" s="525"/>
      <c r="K112" s="525"/>
      <c r="L112" s="221"/>
      <c r="M112" s="525"/>
      <c r="N112" s="527">
        <f t="shared" si="28"/>
        <v>0</v>
      </c>
    </row>
    <row r="113" spans="1:15">
      <c r="A113" s="101" t="s">
        <v>304</v>
      </c>
      <c r="B113" s="525"/>
      <c r="C113" s="525"/>
      <c r="D113" s="525"/>
      <c r="E113" s="525">
        <v>0</v>
      </c>
      <c r="F113" s="526">
        <v>0</v>
      </c>
      <c r="G113" s="525">
        <v>0</v>
      </c>
      <c r="H113" s="525">
        <v>0</v>
      </c>
      <c r="I113" s="525"/>
      <c r="J113" s="525"/>
      <c r="K113" s="525"/>
      <c r="L113" s="221"/>
      <c r="M113" s="525"/>
      <c r="N113" s="527">
        <f t="shared" si="28"/>
        <v>0</v>
      </c>
    </row>
    <row r="114" spans="1:15">
      <c r="A114" s="101" t="s">
        <v>305</v>
      </c>
      <c r="B114" s="525"/>
      <c r="C114" s="525"/>
      <c r="D114" s="525"/>
      <c r="E114" s="525">
        <v>0</v>
      </c>
      <c r="F114" s="526">
        <v>0</v>
      </c>
      <c r="G114" s="525">
        <v>0</v>
      </c>
      <c r="H114" s="525">
        <v>0</v>
      </c>
      <c r="I114" s="525"/>
      <c r="J114" s="525"/>
      <c r="K114" s="525"/>
      <c r="L114" s="221"/>
      <c r="M114" s="525"/>
      <c r="N114" s="527">
        <f t="shared" si="28"/>
        <v>0</v>
      </c>
    </row>
    <row r="115" spans="1:15">
      <c r="A115" s="101" t="s">
        <v>296</v>
      </c>
      <c r="B115" s="525"/>
      <c r="C115" s="525"/>
      <c r="D115" s="525"/>
      <c r="E115" s="525">
        <v>0</v>
      </c>
      <c r="F115" s="526">
        <v>0</v>
      </c>
      <c r="G115" s="525">
        <v>0</v>
      </c>
      <c r="H115" s="525">
        <v>0</v>
      </c>
      <c r="I115" s="525"/>
      <c r="J115" s="525"/>
      <c r="K115" s="525"/>
      <c r="L115" s="221"/>
      <c r="M115" s="525"/>
      <c r="N115" s="527">
        <f t="shared" si="28"/>
        <v>0</v>
      </c>
    </row>
    <row r="116" spans="1:15">
      <c r="A116" s="101" t="s">
        <v>517</v>
      </c>
      <c r="B116" s="525">
        <v>0</v>
      </c>
      <c r="C116" s="525">
        <v>287932.84000000003</v>
      </c>
      <c r="D116" s="525">
        <v>0</v>
      </c>
      <c r="E116" s="525">
        <v>0</v>
      </c>
      <c r="F116" s="526">
        <v>0</v>
      </c>
      <c r="G116" s="525">
        <v>0</v>
      </c>
      <c r="H116" s="525">
        <v>0</v>
      </c>
      <c r="I116" s="525"/>
      <c r="J116" s="525">
        <v>201472.73</v>
      </c>
      <c r="K116" s="525"/>
      <c r="L116" s="221"/>
      <c r="M116" s="525"/>
      <c r="N116" s="527">
        <f t="shared" si="28"/>
        <v>489405.57000000007</v>
      </c>
    </row>
    <row r="117" spans="1:15">
      <c r="A117" s="101" t="s">
        <v>575</v>
      </c>
      <c r="B117" s="525">
        <v>2626661.54</v>
      </c>
      <c r="C117" s="525">
        <v>438910.81</v>
      </c>
      <c r="D117" s="525">
        <v>1485036.19</v>
      </c>
      <c r="E117" s="525">
        <v>0</v>
      </c>
      <c r="F117" s="526">
        <v>127919.07</v>
      </c>
      <c r="G117" s="525">
        <v>446748.52</v>
      </c>
      <c r="H117" s="525">
        <v>0</v>
      </c>
      <c r="I117" s="525"/>
      <c r="J117" s="525"/>
      <c r="K117" s="525"/>
      <c r="L117" s="221">
        <v>241621.78</v>
      </c>
      <c r="M117" s="525"/>
      <c r="N117" s="527">
        <f t="shared" si="28"/>
        <v>5366897.9100000011</v>
      </c>
    </row>
    <row r="118" spans="1:15">
      <c r="A118" s="101" t="s">
        <v>356</v>
      </c>
      <c r="B118" s="525">
        <v>7021.02</v>
      </c>
      <c r="C118" s="525">
        <v>4908.79</v>
      </c>
      <c r="D118" s="525">
        <v>40722.9</v>
      </c>
      <c r="E118" s="525">
        <v>-8058.47</v>
      </c>
      <c r="F118" s="526">
        <v>104759.86</v>
      </c>
      <c r="G118" s="525">
        <v>688548.92</v>
      </c>
      <c r="H118" s="525">
        <v>30246.89</v>
      </c>
      <c r="I118" s="525">
        <v>3033.65</v>
      </c>
      <c r="J118" s="525">
        <v>31640.48</v>
      </c>
      <c r="K118" s="525">
        <v>1085.68</v>
      </c>
      <c r="L118" s="221">
        <v>749.68</v>
      </c>
      <c r="M118" s="525">
        <v>13969.3</v>
      </c>
      <c r="N118" s="527">
        <f t="shared" si="28"/>
        <v>918628.70000000019</v>
      </c>
    </row>
    <row r="119" spans="1:15">
      <c r="A119" s="138" t="s">
        <v>357</v>
      </c>
      <c r="B119" s="525">
        <v>867635.26</v>
      </c>
      <c r="C119" s="525">
        <v>1133726.26</v>
      </c>
      <c r="D119" s="525">
        <v>2624422.13</v>
      </c>
      <c r="E119" s="525">
        <v>1080841.8999999999</v>
      </c>
      <c r="F119" s="526">
        <v>4596826.91</v>
      </c>
      <c r="G119" s="525">
        <v>1519661.92</v>
      </c>
      <c r="H119" s="525">
        <v>1173865.81</v>
      </c>
      <c r="I119" s="525">
        <v>1196533.03</v>
      </c>
      <c r="J119" s="525">
        <v>3112788.73</v>
      </c>
      <c r="K119" s="525">
        <v>1830071.33</v>
      </c>
      <c r="L119" s="221">
        <v>2965844.06</v>
      </c>
      <c r="M119" s="525">
        <v>3117135.4</v>
      </c>
      <c r="N119" s="527">
        <f t="shared" si="28"/>
        <v>25219352.739999998</v>
      </c>
    </row>
    <row r="120" spans="1:15">
      <c r="A120" s="138" t="s">
        <v>437</v>
      </c>
      <c r="B120" s="525"/>
      <c r="C120" s="525"/>
      <c r="D120" s="525"/>
      <c r="E120" s="525">
        <v>0</v>
      </c>
      <c r="F120" s="526">
        <v>0</v>
      </c>
      <c r="G120" s="525">
        <v>0</v>
      </c>
      <c r="H120" s="525">
        <v>0</v>
      </c>
      <c r="I120" s="525"/>
      <c r="J120" s="525"/>
      <c r="K120" s="525"/>
      <c r="L120" s="221"/>
      <c r="M120" s="525"/>
      <c r="N120" s="527">
        <f t="shared" si="28"/>
        <v>0</v>
      </c>
    </row>
    <row r="121" spans="1:15">
      <c r="A121" s="138" t="s">
        <v>518</v>
      </c>
      <c r="B121" s="525"/>
      <c r="C121" s="525"/>
      <c r="D121" s="525"/>
      <c r="E121" s="525">
        <v>0</v>
      </c>
      <c r="F121" s="526">
        <v>0</v>
      </c>
      <c r="G121" s="525">
        <v>0</v>
      </c>
      <c r="H121" s="525">
        <v>0</v>
      </c>
      <c r="I121" s="525"/>
      <c r="J121" s="525"/>
      <c r="K121" s="525"/>
      <c r="L121" s="221"/>
      <c r="M121" s="525"/>
      <c r="N121" s="527">
        <f t="shared" si="28"/>
        <v>0</v>
      </c>
    </row>
    <row r="122" spans="1:15">
      <c r="A122" s="138" t="s">
        <v>576</v>
      </c>
      <c r="B122" s="525">
        <v>1541880.45</v>
      </c>
      <c r="C122" s="525">
        <v>1605392.11</v>
      </c>
      <c r="D122" s="525">
        <v>2878599.95</v>
      </c>
      <c r="E122" s="525">
        <v>0</v>
      </c>
      <c r="F122" s="526">
        <v>1767661.2</v>
      </c>
      <c r="G122" s="525">
        <v>893168.9</v>
      </c>
      <c r="H122" s="525">
        <v>30795.56</v>
      </c>
      <c r="I122" s="525">
        <v>1695329.33</v>
      </c>
      <c r="J122" s="525">
        <v>2100041.17</v>
      </c>
      <c r="K122" s="525"/>
      <c r="L122" s="221">
        <v>255234.03</v>
      </c>
      <c r="M122" s="525"/>
      <c r="N122" s="527">
        <f t="shared" si="28"/>
        <v>12768102.699999999</v>
      </c>
    </row>
    <row r="123" spans="1:15">
      <c r="A123" s="186" t="s">
        <v>448</v>
      </c>
      <c r="B123" s="525"/>
      <c r="C123" s="525"/>
      <c r="D123" s="525"/>
      <c r="E123" s="525">
        <v>0</v>
      </c>
      <c r="F123" s="526">
        <v>0</v>
      </c>
      <c r="G123" s="525">
        <v>0</v>
      </c>
      <c r="H123" s="525">
        <v>0</v>
      </c>
      <c r="I123" s="525"/>
      <c r="J123" s="525"/>
      <c r="K123" s="525"/>
      <c r="L123" s="221"/>
      <c r="M123" s="525"/>
      <c r="N123" s="527">
        <f t="shared" si="28"/>
        <v>0</v>
      </c>
    </row>
    <row r="124" spans="1:15">
      <c r="A124" s="186" t="s">
        <v>519</v>
      </c>
      <c r="B124" s="525"/>
      <c r="C124" s="525"/>
      <c r="D124" s="525"/>
      <c r="E124" s="525">
        <v>0</v>
      </c>
      <c r="F124" s="526">
        <v>0</v>
      </c>
      <c r="G124" s="525">
        <v>0</v>
      </c>
      <c r="H124" s="525">
        <v>0</v>
      </c>
      <c r="I124" s="525"/>
      <c r="J124" s="525"/>
      <c r="K124" s="525"/>
      <c r="L124" s="221"/>
      <c r="M124" s="525"/>
      <c r="N124" s="527">
        <f t="shared" si="28"/>
        <v>0</v>
      </c>
    </row>
    <row r="125" spans="1:15">
      <c r="A125" s="186" t="s">
        <v>577</v>
      </c>
      <c r="B125" s="525">
        <v>0</v>
      </c>
      <c r="C125" s="525">
        <v>0</v>
      </c>
      <c r="D125" s="525">
        <v>1114724.33</v>
      </c>
      <c r="E125" s="525">
        <v>0</v>
      </c>
      <c r="F125" s="526">
        <v>0</v>
      </c>
      <c r="G125" s="525">
        <v>2782873.15</v>
      </c>
      <c r="H125" s="525">
        <v>2334357.3199999998</v>
      </c>
      <c r="I125" s="525">
        <v>852511.43</v>
      </c>
      <c r="J125" s="525"/>
      <c r="K125" s="525">
        <v>1087634.54</v>
      </c>
      <c r="L125" s="221">
        <v>1242013.44</v>
      </c>
      <c r="M125" s="525"/>
      <c r="N125" s="527">
        <f t="shared" si="28"/>
        <v>9414114.209999999</v>
      </c>
    </row>
    <row r="126" spans="1:15">
      <c r="A126" s="186" t="s">
        <v>449</v>
      </c>
      <c r="B126" s="525">
        <v>0</v>
      </c>
      <c r="C126" s="525">
        <v>338100</v>
      </c>
      <c r="D126" s="525">
        <v>52.05</v>
      </c>
      <c r="E126" s="525">
        <v>0</v>
      </c>
      <c r="F126" s="526">
        <v>203</v>
      </c>
      <c r="G126" s="525">
        <v>0</v>
      </c>
      <c r="H126" s="525">
        <v>0</v>
      </c>
      <c r="I126" s="525"/>
      <c r="J126" s="525"/>
      <c r="K126" s="525"/>
      <c r="L126" s="221"/>
      <c r="M126" s="525"/>
      <c r="N126" s="527">
        <f t="shared" si="28"/>
        <v>338355.05</v>
      </c>
    </row>
    <row r="127" spans="1:15">
      <c r="A127" s="186" t="s">
        <v>520</v>
      </c>
      <c r="B127" s="525"/>
      <c r="C127" s="525"/>
      <c r="D127" s="525">
        <v>13.49</v>
      </c>
      <c r="E127" s="525">
        <v>203</v>
      </c>
      <c r="F127" s="526">
        <v>203</v>
      </c>
      <c r="G127" s="525">
        <v>0</v>
      </c>
      <c r="H127" s="525">
        <v>0</v>
      </c>
      <c r="I127" s="525"/>
      <c r="J127" s="525"/>
      <c r="K127" s="525"/>
      <c r="L127" s="221"/>
      <c r="M127" s="525"/>
      <c r="N127" s="527">
        <f t="shared" si="28"/>
        <v>419.49</v>
      </c>
    </row>
    <row r="128" spans="1:15" ht="13.5" customHeight="1">
      <c r="A128" s="186" t="s">
        <v>578</v>
      </c>
      <c r="B128" s="525">
        <v>867865.2</v>
      </c>
      <c r="C128" s="525">
        <v>208109</v>
      </c>
      <c r="D128" s="525">
        <v>455730.72</v>
      </c>
      <c r="E128" s="525">
        <f>241125.09+5.8+181736</f>
        <v>422866.89</v>
      </c>
      <c r="F128" s="526">
        <v>905817.49</v>
      </c>
      <c r="G128" s="525">
        <v>134837.6</v>
      </c>
      <c r="H128" s="525">
        <v>128759</v>
      </c>
      <c r="I128" s="525">
        <v>122302</v>
      </c>
      <c r="J128" s="540">
        <v>111238</v>
      </c>
      <c r="K128" s="525">
        <v>82542</v>
      </c>
      <c r="L128" s="221">
        <v>74433</v>
      </c>
      <c r="M128" s="525">
        <v>0</v>
      </c>
      <c r="N128" s="527">
        <f t="shared" si="28"/>
        <v>3514500.9</v>
      </c>
      <c r="O128" s="252"/>
    </row>
    <row r="129" spans="1:15" ht="13.5" customHeight="1">
      <c r="A129" s="247" t="s">
        <v>1159</v>
      </c>
      <c r="B129" s="525"/>
      <c r="C129" s="525"/>
      <c r="D129" s="525"/>
      <c r="E129" s="525"/>
      <c r="F129" s="526">
        <v>3636374.51</v>
      </c>
      <c r="G129" s="525">
        <v>42011.6</v>
      </c>
      <c r="H129" s="525">
        <v>483511.6</v>
      </c>
      <c r="I129" s="525">
        <v>104000</v>
      </c>
      <c r="J129" s="525">
        <v>1905500</v>
      </c>
      <c r="K129" s="525">
        <v>1151965.23</v>
      </c>
      <c r="L129" s="221">
        <v>3376055.41</v>
      </c>
      <c r="M129" s="525">
        <v>-272074</v>
      </c>
      <c r="N129" s="527">
        <f t="shared" si="28"/>
        <v>10427344.35</v>
      </c>
      <c r="O129" s="252"/>
    </row>
    <row r="130" spans="1:15">
      <c r="A130" s="186" t="s">
        <v>450</v>
      </c>
      <c r="B130" s="525"/>
      <c r="C130" s="525"/>
      <c r="D130" s="525"/>
      <c r="E130" s="525">
        <v>0</v>
      </c>
      <c r="F130" s="526">
        <v>0</v>
      </c>
      <c r="G130" s="525">
        <v>0</v>
      </c>
      <c r="H130" s="525">
        <v>0</v>
      </c>
      <c r="I130" s="525"/>
      <c r="J130" s="525"/>
      <c r="K130" s="525"/>
      <c r="L130" s="221"/>
      <c r="M130" s="525"/>
      <c r="N130" s="527">
        <f t="shared" si="28"/>
        <v>0</v>
      </c>
    </row>
    <row r="131" spans="1:15">
      <c r="A131" s="247" t="s">
        <v>1166</v>
      </c>
      <c r="B131" s="525"/>
      <c r="C131" s="525"/>
      <c r="D131" s="525"/>
      <c r="E131" s="525">
        <v>0</v>
      </c>
      <c r="F131" s="526">
        <v>0</v>
      </c>
      <c r="G131" s="525">
        <v>0</v>
      </c>
      <c r="H131" s="525">
        <v>0</v>
      </c>
      <c r="I131" s="525"/>
      <c r="J131" s="525"/>
      <c r="K131" s="525"/>
      <c r="L131" s="221"/>
      <c r="M131" s="525"/>
      <c r="N131" s="527">
        <f t="shared" si="28"/>
        <v>0</v>
      </c>
    </row>
    <row r="132" spans="1:15">
      <c r="A132" s="186" t="s">
        <v>521</v>
      </c>
      <c r="B132" s="525"/>
      <c r="C132" s="525"/>
      <c r="D132" s="525"/>
      <c r="E132" s="525">
        <v>0</v>
      </c>
      <c r="F132" s="526">
        <v>0</v>
      </c>
      <c r="G132" s="525">
        <v>0</v>
      </c>
      <c r="H132" s="525">
        <v>0</v>
      </c>
      <c r="I132" s="525">
        <v>60693.09</v>
      </c>
      <c r="J132" s="525"/>
      <c r="K132" s="525">
        <v>703503.11</v>
      </c>
      <c r="L132" s="221"/>
      <c r="M132" s="525"/>
      <c r="N132" s="527">
        <f t="shared" si="28"/>
        <v>764196.2</v>
      </c>
    </row>
    <row r="133" spans="1:15">
      <c r="A133" s="186" t="s">
        <v>605</v>
      </c>
      <c r="B133" s="525">
        <v>2328959.5699999998</v>
      </c>
      <c r="C133" s="525">
        <v>0</v>
      </c>
      <c r="D133" s="525">
        <v>0</v>
      </c>
      <c r="E133" s="525">
        <v>1100000</v>
      </c>
      <c r="F133" s="526">
        <v>1799855.09</v>
      </c>
      <c r="G133" s="525">
        <v>0</v>
      </c>
      <c r="H133" s="525">
        <v>1033889.25</v>
      </c>
      <c r="I133" s="525"/>
      <c r="J133" s="525"/>
      <c r="K133" s="525">
        <v>101898.49</v>
      </c>
      <c r="L133" s="221"/>
      <c r="M133" s="525"/>
      <c r="N133" s="527">
        <f t="shared" si="28"/>
        <v>6364602.4000000004</v>
      </c>
    </row>
    <row r="134" spans="1:15">
      <c r="A134" s="247" t="s">
        <v>1164</v>
      </c>
      <c r="B134" s="525"/>
      <c r="C134" s="525"/>
      <c r="D134" s="525"/>
      <c r="E134" s="525"/>
      <c r="F134" s="526"/>
      <c r="G134" s="525"/>
      <c r="H134" s="525"/>
      <c r="I134" s="525">
        <v>1453443.56</v>
      </c>
      <c r="J134" s="525"/>
      <c r="K134" s="525">
        <v>972729.04</v>
      </c>
      <c r="L134" s="221">
        <v>1045036.95</v>
      </c>
      <c r="M134" s="525">
        <v>2594386.27</v>
      </c>
      <c r="N134" s="527">
        <f t="shared" si="28"/>
        <v>6065595.8200000003</v>
      </c>
    </row>
    <row r="135" spans="1:15">
      <c r="A135" s="186" t="s">
        <v>533</v>
      </c>
      <c r="B135" s="525"/>
      <c r="C135" s="525"/>
      <c r="D135" s="525"/>
      <c r="E135" s="525">
        <v>0</v>
      </c>
      <c r="F135" s="526">
        <v>0</v>
      </c>
      <c r="G135" s="525">
        <v>0</v>
      </c>
      <c r="H135" s="525">
        <v>0</v>
      </c>
      <c r="I135" s="525"/>
      <c r="J135" s="525"/>
      <c r="K135" s="525"/>
      <c r="L135" s="221"/>
      <c r="M135" s="525"/>
      <c r="N135" s="527">
        <f t="shared" si="28"/>
        <v>0</v>
      </c>
    </row>
    <row r="136" spans="1:15">
      <c r="A136" s="247" t="s">
        <v>1165</v>
      </c>
      <c r="B136" s="525"/>
      <c r="C136" s="525"/>
      <c r="D136" s="525"/>
      <c r="E136" s="525">
        <v>0</v>
      </c>
      <c r="F136" s="526">
        <v>0</v>
      </c>
      <c r="G136" s="525">
        <v>0</v>
      </c>
      <c r="H136" s="525">
        <v>0</v>
      </c>
      <c r="I136" s="525"/>
      <c r="J136" s="525"/>
      <c r="K136" s="525"/>
      <c r="L136" s="221"/>
      <c r="M136" s="525"/>
      <c r="N136" s="527">
        <f t="shared" si="28"/>
        <v>0</v>
      </c>
    </row>
    <row r="137" spans="1:15">
      <c r="A137" s="186" t="s">
        <v>574</v>
      </c>
      <c r="B137" s="525"/>
      <c r="C137" s="525"/>
      <c r="D137" s="525"/>
      <c r="E137" s="525">
        <v>0</v>
      </c>
      <c r="F137" s="526">
        <v>0</v>
      </c>
      <c r="G137" s="525">
        <v>0</v>
      </c>
      <c r="H137" s="525">
        <v>2609489.65</v>
      </c>
      <c r="I137" s="525"/>
      <c r="J137" s="525"/>
      <c r="K137" s="525">
        <v>707558.18</v>
      </c>
      <c r="L137" s="221">
        <v>1842329</v>
      </c>
      <c r="M137" s="525">
        <v>655374.64</v>
      </c>
      <c r="N137" s="527">
        <f t="shared" si="28"/>
        <v>5814751.4699999997</v>
      </c>
    </row>
    <row r="138" spans="1:15">
      <c r="A138" s="186" t="s">
        <v>1169</v>
      </c>
      <c r="B138" s="525"/>
      <c r="C138" s="525"/>
      <c r="D138" s="525"/>
      <c r="E138" s="525"/>
      <c r="F138" s="526"/>
      <c r="G138" s="525"/>
      <c r="H138" s="525"/>
      <c r="I138" s="525">
        <v>1637672.85</v>
      </c>
      <c r="J138" s="525"/>
      <c r="K138" s="525">
        <v>926928.09</v>
      </c>
      <c r="L138" s="221">
        <v>1009693.5</v>
      </c>
      <c r="M138" s="525">
        <v>500168.73</v>
      </c>
      <c r="N138" s="527">
        <f t="shared" si="28"/>
        <v>4074463.17</v>
      </c>
    </row>
    <row r="139" spans="1:15">
      <c r="A139" s="247" t="s">
        <v>1170</v>
      </c>
      <c r="B139" s="525"/>
      <c r="C139" s="525"/>
      <c r="D139" s="525"/>
      <c r="E139" s="525">
        <v>0</v>
      </c>
      <c r="F139" s="526">
        <v>0</v>
      </c>
      <c r="G139" s="525">
        <v>0</v>
      </c>
      <c r="H139" s="525">
        <v>0</v>
      </c>
      <c r="I139" s="525"/>
      <c r="J139" s="525"/>
      <c r="K139" s="525"/>
      <c r="L139" s="221"/>
      <c r="M139" s="525"/>
      <c r="N139" s="527">
        <f t="shared" si="28"/>
        <v>0</v>
      </c>
    </row>
    <row r="140" spans="1:15">
      <c r="A140" s="186" t="s">
        <v>548</v>
      </c>
      <c r="B140" s="525"/>
      <c r="C140" s="525"/>
      <c r="D140" s="525"/>
      <c r="E140" s="525">
        <v>0</v>
      </c>
      <c r="F140" s="526">
        <v>0</v>
      </c>
      <c r="G140" s="525">
        <v>0</v>
      </c>
      <c r="H140" s="525">
        <v>0</v>
      </c>
      <c r="I140" s="525"/>
      <c r="J140" s="525"/>
      <c r="K140" s="525"/>
      <c r="L140" s="221"/>
      <c r="M140" s="525"/>
      <c r="N140" s="527">
        <f t="shared" si="28"/>
        <v>0</v>
      </c>
    </row>
    <row r="141" spans="1:15">
      <c r="A141" s="247" t="s">
        <v>1163</v>
      </c>
      <c r="B141" s="525"/>
      <c r="C141" s="525"/>
      <c r="D141" s="525"/>
      <c r="E141" s="525"/>
      <c r="F141" s="526"/>
      <c r="G141" s="525"/>
      <c r="H141" s="525"/>
      <c r="I141" s="525">
        <v>20628635.469999999</v>
      </c>
      <c r="J141" s="525"/>
      <c r="K141" s="525">
        <v>7648362.46</v>
      </c>
      <c r="L141" s="221">
        <v>8891750.1999999993</v>
      </c>
      <c r="M141" s="525">
        <v>14500149.09</v>
      </c>
      <c r="N141" s="527">
        <f t="shared" si="28"/>
        <v>51668897.219999999</v>
      </c>
    </row>
    <row r="142" spans="1:15">
      <c r="A142" s="186" t="s">
        <v>417</v>
      </c>
      <c r="B142" s="525"/>
      <c r="C142" s="525"/>
      <c r="D142" s="525"/>
      <c r="E142" s="525">
        <v>0</v>
      </c>
      <c r="F142" s="526">
        <v>0</v>
      </c>
      <c r="G142" s="525">
        <v>0</v>
      </c>
      <c r="H142" s="525">
        <v>0</v>
      </c>
      <c r="I142" s="525"/>
      <c r="J142" s="525"/>
      <c r="K142" s="525"/>
      <c r="L142" s="221"/>
      <c r="M142" s="525"/>
      <c r="N142" s="527">
        <f t="shared" si="28"/>
        <v>0</v>
      </c>
    </row>
    <row r="143" spans="1:15">
      <c r="A143" s="186" t="s">
        <v>534</v>
      </c>
      <c r="B143" s="527"/>
      <c r="C143" s="525"/>
      <c r="D143" s="525"/>
      <c r="E143" s="525">
        <v>0</v>
      </c>
      <c r="F143" s="526">
        <v>0</v>
      </c>
      <c r="G143" s="525">
        <v>0</v>
      </c>
      <c r="H143" s="525">
        <v>0</v>
      </c>
      <c r="I143" s="525"/>
      <c r="J143" s="525"/>
      <c r="K143" s="525"/>
      <c r="L143" s="221"/>
      <c r="M143" s="525"/>
      <c r="N143" s="527">
        <f t="shared" si="28"/>
        <v>0</v>
      </c>
    </row>
    <row r="144" spans="1:15">
      <c r="A144" s="186" t="s">
        <v>608</v>
      </c>
      <c r="B144" s="527">
        <v>0</v>
      </c>
      <c r="C144" s="525">
        <v>816240.36</v>
      </c>
      <c r="D144" s="525">
        <v>0</v>
      </c>
      <c r="E144" s="525">
        <v>0</v>
      </c>
      <c r="F144" s="526">
        <v>0</v>
      </c>
      <c r="G144" s="525">
        <v>0</v>
      </c>
      <c r="H144" s="525">
        <v>0</v>
      </c>
      <c r="I144" s="525"/>
      <c r="J144" s="525">
        <v>74254.06</v>
      </c>
      <c r="K144" s="525"/>
      <c r="L144" s="221"/>
      <c r="M144" s="526"/>
      <c r="N144" s="525">
        <f t="shared" si="28"/>
        <v>890494.41999999993</v>
      </c>
    </row>
    <row r="145" spans="1:14">
      <c r="A145" s="186" t="s">
        <v>1172</v>
      </c>
      <c r="B145" s="527">
        <v>0</v>
      </c>
      <c r="C145" s="525">
        <v>0</v>
      </c>
      <c r="D145" s="525">
        <v>0</v>
      </c>
      <c r="E145" s="525">
        <v>0</v>
      </c>
      <c r="F145" s="526">
        <v>0</v>
      </c>
      <c r="G145" s="525">
        <v>0</v>
      </c>
      <c r="H145" s="525">
        <v>0</v>
      </c>
      <c r="I145" s="525"/>
      <c r="J145" s="525">
        <v>1555971.8</v>
      </c>
      <c r="K145" s="525">
        <v>458432</v>
      </c>
      <c r="L145" s="221">
        <v>2303975.4</v>
      </c>
      <c r="M145" s="526"/>
      <c r="N145" s="525">
        <f t="shared" ref="N145" si="29">SUM(B145:M145)</f>
        <v>4318379.2</v>
      </c>
    </row>
    <row r="146" spans="1:14">
      <c r="A146" s="138" t="s">
        <v>584</v>
      </c>
      <c r="B146" s="526">
        <v>109590.24</v>
      </c>
      <c r="C146" s="526">
        <v>0</v>
      </c>
      <c r="D146" s="525">
        <v>382418.12</v>
      </c>
      <c r="E146" s="525">
        <v>255369.67</v>
      </c>
      <c r="F146" s="526">
        <v>0</v>
      </c>
      <c r="G146" s="525">
        <v>0</v>
      </c>
      <c r="H146" s="526">
        <v>0</v>
      </c>
      <c r="I146" s="526"/>
      <c r="J146" s="526"/>
      <c r="K146" s="525"/>
      <c r="L146" s="221"/>
      <c r="M146" s="526"/>
      <c r="N146" s="525">
        <f t="shared" si="28"/>
        <v>747378.03</v>
      </c>
    </row>
    <row r="147" spans="1:14">
      <c r="A147" s="138" t="s">
        <v>599</v>
      </c>
      <c r="B147" s="526"/>
      <c r="C147" s="526"/>
      <c r="D147" s="525"/>
      <c r="E147" s="525">
        <v>0</v>
      </c>
      <c r="F147" s="526">
        <v>0</v>
      </c>
      <c r="G147" s="525">
        <v>0</v>
      </c>
      <c r="H147" s="526">
        <v>0</v>
      </c>
      <c r="I147" s="526"/>
      <c r="J147" s="526"/>
      <c r="K147" s="525"/>
      <c r="L147" s="221"/>
      <c r="M147" s="526"/>
      <c r="N147" s="525">
        <f t="shared" si="28"/>
        <v>0</v>
      </c>
    </row>
    <row r="148" spans="1:14">
      <c r="A148" s="227" t="s">
        <v>609</v>
      </c>
      <c r="B148" s="526"/>
      <c r="C148" s="526"/>
      <c r="D148" s="525"/>
      <c r="E148" s="525">
        <v>0</v>
      </c>
      <c r="F148" s="526">
        <v>0</v>
      </c>
      <c r="G148" s="525">
        <v>0</v>
      </c>
      <c r="H148" s="526">
        <v>0</v>
      </c>
      <c r="I148" s="526"/>
      <c r="J148" s="526"/>
      <c r="K148" s="525"/>
      <c r="L148" s="221"/>
      <c r="M148" s="526"/>
      <c r="N148" s="525">
        <f t="shared" si="28"/>
        <v>0</v>
      </c>
    </row>
    <row r="149" spans="1:14">
      <c r="A149" s="227" t="s">
        <v>610</v>
      </c>
      <c r="B149" s="526">
        <v>0</v>
      </c>
      <c r="C149" s="526">
        <v>1288186.96</v>
      </c>
      <c r="D149" s="525">
        <v>3534343.9</v>
      </c>
      <c r="E149" s="525">
        <v>531021.93000000005</v>
      </c>
      <c r="F149" s="526">
        <v>0</v>
      </c>
      <c r="G149" s="525">
        <v>1961907.99</v>
      </c>
      <c r="H149" s="526">
        <v>0</v>
      </c>
      <c r="I149" s="526"/>
      <c r="J149" s="526"/>
      <c r="K149" s="525"/>
      <c r="L149" s="221"/>
      <c r="M149" s="526"/>
      <c r="N149" s="525">
        <f t="shared" si="28"/>
        <v>7315460.7799999993</v>
      </c>
    </row>
    <row r="150" spans="1:14">
      <c r="A150" s="227" t="s">
        <v>611</v>
      </c>
      <c r="B150" s="526">
        <v>5931954.9000000004</v>
      </c>
      <c r="C150" s="526">
        <v>0</v>
      </c>
      <c r="D150" s="525">
        <v>2073902.4</v>
      </c>
      <c r="E150" s="525">
        <v>5387818.4699999997</v>
      </c>
      <c r="F150" s="526">
        <v>0</v>
      </c>
      <c r="G150" s="525">
        <v>4740992.68</v>
      </c>
      <c r="H150" s="526">
        <v>0</v>
      </c>
      <c r="I150" s="526"/>
      <c r="J150" s="526"/>
      <c r="K150" s="525">
        <v>4428129.1900000004</v>
      </c>
      <c r="L150" s="221"/>
      <c r="M150" s="526"/>
      <c r="N150" s="525">
        <f t="shared" si="28"/>
        <v>22562797.640000001</v>
      </c>
    </row>
    <row r="151" spans="1:14">
      <c r="A151" s="14" t="s">
        <v>1160</v>
      </c>
      <c r="B151" s="526"/>
      <c r="C151" s="526"/>
      <c r="D151" s="525"/>
      <c r="E151" s="525"/>
      <c r="F151" s="526"/>
      <c r="G151" s="525">
        <v>11855452.300000001</v>
      </c>
      <c r="H151" s="526">
        <v>0</v>
      </c>
      <c r="I151" s="526">
        <v>3403275.57</v>
      </c>
      <c r="J151" s="526">
        <v>2324390.75</v>
      </c>
      <c r="K151" s="525">
        <v>4671319.54</v>
      </c>
      <c r="L151" s="221">
        <v>9608383.5899999999</v>
      </c>
      <c r="M151" s="526">
        <v>96587.9</v>
      </c>
      <c r="N151" s="525">
        <f t="shared" si="28"/>
        <v>31959409.649999999</v>
      </c>
    </row>
    <row r="152" spans="1:14">
      <c r="A152" s="17" t="s">
        <v>1161</v>
      </c>
      <c r="B152" s="533"/>
      <c r="C152" s="533"/>
      <c r="D152" s="532"/>
      <c r="E152" s="532"/>
      <c r="F152" s="533"/>
      <c r="G152" s="532">
        <v>2346278.6800000002</v>
      </c>
      <c r="H152" s="533">
        <v>0</v>
      </c>
      <c r="I152" s="533"/>
      <c r="J152" s="533">
        <v>615492.65</v>
      </c>
      <c r="K152" s="532">
        <v>1094995.94</v>
      </c>
      <c r="L152" s="534">
        <v>1399293.76</v>
      </c>
      <c r="M152" s="533">
        <v>1697387.45</v>
      </c>
      <c r="N152" s="532">
        <f t="shared" si="28"/>
        <v>7153448.4800000004</v>
      </c>
    </row>
    <row r="153" spans="1:14">
      <c r="B153" s="220"/>
      <c r="C153" s="220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</row>
    <row r="154" spans="1:14" ht="27" customHeight="1">
      <c r="A154" s="201" t="s">
        <v>38</v>
      </c>
      <c r="B154" s="542">
        <f t="shared" ref="B154:N154" si="30">SUM(B104+B98+B63+B49+B42+B38+B29+B20+B12+B7)</f>
        <v>88234507.190000013</v>
      </c>
      <c r="C154" s="542">
        <f t="shared" si="30"/>
        <v>82745322.060000002</v>
      </c>
      <c r="D154" s="542">
        <f t="shared" si="30"/>
        <v>118550501.67</v>
      </c>
      <c r="E154" s="542">
        <f t="shared" si="30"/>
        <v>84729851.750000015</v>
      </c>
      <c r="F154" s="542">
        <f t="shared" si="30"/>
        <v>108924329.88</v>
      </c>
      <c r="G154" s="542">
        <f t="shared" si="30"/>
        <v>115684320.19</v>
      </c>
      <c r="H154" s="542">
        <f t="shared" si="30"/>
        <v>114659737.88000001</v>
      </c>
      <c r="I154" s="542">
        <f t="shared" si="30"/>
        <v>104316717.5</v>
      </c>
      <c r="J154" s="542">
        <f t="shared" si="30"/>
        <v>113909671.41999999</v>
      </c>
      <c r="K154" s="542">
        <f t="shared" si="30"/>
        <v>111317669.81</v>
      </c>
      <c r="L154" s="542">
        <f t="shared" si="30"/>
        <v>109186614.48</v>
      </c>
      <c r="M154" s="542">
        <f t="shared" si="30"/>
        <v>189891210.34</v>
      </c>
      <c r="N154" s="542">
        <f t="shared" si="30"/>
        <v>1342150454.1700001</v>
      </c>
    </row>
    <row r="157" spans="1:14">
      <c r="A157" s="202"/>
      <c r="B157" s="219"/>
      <c r="C157" s="219"/>
    </row>
    <row r="158" spans="1:14">
      <c r="A158" s="204"/>
      <c r="B158" s="219"/>
      <c r="C158" s="219"/>
    </row>
    <row r="159" spans="1:14">
      <c r="A159" s="204"/>
      <c r="B159" s="219"/>
      <c r="C159" s="219"/>
    </row>
    <row r="160" spans="1:14">
      <c r="A160" s="204"/>
      <c r="B160" s="219"/>
      <c r="C160" s="219"/>
    </row>
    <row r="161" spans="1:3">
      <c r="A161" s="204"/>
      <c r="B161" s="219"/>
      <c r="C161" s="219"/>
    </row>
    <row r="162" spans="1:3">
      <c r="A162" s="204"/>
      <c r="B162" s="219"/>
      <c r="C162" s="219"/>
    </row>
    <row r="163" spans="1:3">
      <c r="A163" s="204"/>
      <c r="B163" s="219"/>
      <c r="C163" s="219"/>
    </row>
    <row r="164" spans="1:3">
      <c r="A164" s="204"/>
      <c r="B164" s="219"/>
      <c r="C164" s="220"/>
    </row>
    <row r="165" spans="1:3">
      <c r="A165" s="204"/>
      <c r="B165" s="219"/>
      <c r="C165" s="220"/>
    </row>
    <row r="166" spans="1:3">
      <c r="A166" s="204"/>
      <c r="B166" s="219"/>
      <c r="C166" s="220"/>
    </row>
    <row r="167" spans="1:3">
      <c r="A167" s="204"/>
      <c r="B167" s="220"/>
      <c r="C167" s="220"/>
    </row>
    <row r="168" spans="1:3">
      <c r="A168" s="204"/>
      <c r="B168" s="219"/>
      <c r="C168" s="220"/>
    </row>
    <row r="169" spans="1:3">
      <c r="A169" s="206"/>
      <c r="B169" s="221"/>
      <c r="C169" s="221"/>
    </row>
    <row r="170" spans="1:3">
      <c r="A170" s="208"/>
      <c r="B170" s="221"/>
      <c r="C170" s="221"/>
    </row>
    <row r="171" spans="1:3">
      <c r="A171" s="204"/>
      <c r="B171" s="221"/>
      <c r="C171" s="221"/>
    </row>
    <row r="172" spans="1:3">
      <c r="A172" s="204"/>
      <c r="B172" s="222"/>
      <c r="C172" s="222"/>
    </row>
    <row r="173" spans="1:3">
      <c r="A173" s="204"/>
      <c r="B173" s="222"/>
      <c r="C173" s="222"/>
    </row>
  </sheetData>
  <mergeCells count="3">
    <mergeCell ref="A2:N2"/>
    <mergeCell ref="A3:N3"/>
    <mergeCell ref="A1:N1"/>
  </mergeCells>
  <phoneticPr fontId="7" type="noConversion"/>
  <printOptions horizontalCentered="1"/>
  <pageMargins left="0.43307086614173229" right="0.23622047244094491" top="0.15748031496062992" bottom="0.15748031496062992" header="0" footer="0.15748031496062992"/>
  <pageSetup paperSize="5" scale="65" firstPageNumber="25" orientation="landscape" useFirstPageNumber="1" r:id="rId1"/>
  <headerFooter alignWithMargins="0"/>
  <rowBreaks count="1" manualBreakCount="1">
    <brk id="71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48"/>
  <sheetViews>
    <sheetView workbookViewId="0">
      <selection activeCell="A29" sqref="A29:G29"/>
    </sheetView>
  </sheetViews>
  <sheetFormatPr baseColWidth="10" defaultRowHeight="12.75"/>
  <cols>
    <col min="1" max="1" width="45.7109375" customWidth="1"/>
    <col min="2" max="2" width="16.5703125" bestFit="1" customWidth="1"/>
    <col min="3" max="3" width="13.85546875" bestFit="1" customWidth="1"/>
    <col min="4" max="6" width="17" customWidth="1"/>
    <col min="7" max="7" width="31.28515625" customWidth="1"/>
  </cols>
  <sheetData>
    <row r="1" spans="1:7" ht="15.75">
      <c r="A1" s="336" t="s">
        <v>366</v>
      </c>
      <c r="B1" s="336"/>
      <c r="C1" s="336"/>
      <c r="D1" s="336"/>
      <c r="E1" s="336"/>
      <c r="F1" s="336"/>
      <c r="G1" s="336"/>
    </row>
    <row r="2" spans="1:7">
      <c r="A2" s="335" t="s">
        <v>1131</v>
      </c>
      <c r="B2" s="335"/>
      <c r="C2" s="335"/>
      <c r="D2" s="335"/>
      <c r="E2" s="335"/>
      <c r="F2" s="335"/>
      <c r="G2" s="335"/>
    </row>
    <row r="3" spans="1:7">
      <c r="A3" s="335" t="s">
        <v>333</v>
      </c>
      <c r="B3" s="335"/>
      <c r="C3" s="335"/>
      <c r="D3" s="335"/>
      <c r="E3" s="335"/>
      <c r="F3" s="335"/>
      <c r="G3" s="335"/>
    </row>
    <row r="5" spans="1:7">
      <c r="A5" s="543" t="s">
        <v>0</v>
      </c>
      <c r="B5" s="544" t="s">
        <v>52</v>
      </c>
      <c r="C5" s="545" t="s">
        <v>236</v>
      </c>
      <c r="D5" s="546" t="s">
        <v>40</v>
      </c>
      <c r="E5" s="547" t="s">
        <v>236</v>
      </c>
      <c r="F5" s="546" t="s">
        <v>40</v>
      </c>
      <c r="G5" s="548" t="s">
        <v>238</v>
      </c>
    </row>
    <row r="6" spans="1:7" ht="16.5" thickBot="1">
      <c r="A6" s="549"/>
      <c r="B6" s="550" t="s">
        <v>53</v>
      </c>
      <c r="C6" s="551"/>
      <c r="D6" s="552" t="s">
        <v>237</v>
      </c>
      <c r="E6" s="552"/>
      <c r="F6" s="552" t="s">
        <v>237</v>
      </c>
      <c r="G6" s="553"/>
    </row>
    <row r="7" spans="1:7" ht="13.5" thickBot="1">
      <c r="A7" s="13"/>
      <c r="B7" s="14"/>
      <c r="C7" s="14"/>
      <c r="D7" s="14"/>
      <c r="E7" s="14"/>
      <c r="F7" s="14"/>
      <c r="G7" s="15"/>
    </row>
    <row r="8" spans="1:7">
      <c r="A8" s="260"/>
      <c r="B8" s="116"/>
      <c r="C8" s="116"/>
      <c r="D8" s="116"/>
      <c r="E8" s="116"/>
      <c r="F8" s="116"/>
      <c r="G8" s="263"/>
    </row>
    <row r="9" spans="1:7">
      <c r="A9" s="107" t="s">
        <v>101</v>
      </c>
      <c r="B9" s="24">
        <f>VLOOKUP($A9,[2]Hoja16!$B$5:$E$122,2,0)</f>
        <v>346563742</v>
      </c>
      <c r="C9" s="24">
        <f>+D9-B9</f>
        <v>12886695.590000033</v>
      </c>
      <c r="D9" s="24">
        <f>VLOOKUP($A9,'Análisis Egresos'!$A$8:$D$26,4,0)</f>
        <v>359450437.59000003</v>
      </c>
      <c r="E9" s="24"/>
      <c r="F9" s="24"/>
      <c r="G9" s="108"/>
    </row>
    <row r="10" spans="1:7">
      <c r="A10" s="107"/>
      <c r="B10" s="24"/>
      <c r="C10" s="24"/>
      <c r="D10" s="24"/>
      <c r="E10" s="24"/>
      <c r="F10" s="24"/>
      <c r="G10" s="108"/>
    </row>
    <row r="11" spans="1:7">
      <c r="A11" s="107" t="s">
        <v>49</v>
      </c>
      <c r="B11" s="24">
        <f>VLOOKUP($A11,[2]Hoja16!$B$5:$E$122,2,0)</f>
        <v>108314935.72</v>
      </c>
      <c r="C11" s="24">
        <f>+D11-B11</f>
        <v>1886027.3900000006</v>
      </c>
      <c r="D11" s="24">
        <f>VLOOKUP($A11,'Análisis Egresos'!$A$8:$D$26,4,0)</f>
        <v>110200963.11</v>
      </c>
      <c r="E11" s="24"/>
      <c r="F11" s="45"/>
      <c r="G11" s="108"/>
    </row>
    <row r="12" spans="1:7">
      <c r="A12" s="107"/>
      <c r="B12" s="24"/>
      <c r="C12" s="24"/>
      <c r="D12" s="24"/>
      <c r="E12" s="24"/>
      <c r="F12" s="24"/>
      <c r="G12" s="108"/>
    </row>
    <row r="13" spans="1:7">
      <c r="A13" s="107" t="s">
        <v>50</v>
      </c>
      <c r="B13" s="24">
        <v>38598964.799999997</v>
      </c>
      <c r="C13" s="24">
        <f>+D13-B13</f>
        <v>10509468.590000004</v>
      </c>
      <c r="D13" s="24">
        <f>VLOOKUP($A13,'Análisis Egresos'!$A$8:$D$26,4,0)</f>
        <v>49108433.390000001</v>
      </c>
      <c r="E13" s="24"/>
      <c r="F13" s="45"/>
      <c r="G13" s="108"/>
    </row>
    <row r="14" spans="1:7">
      <c r="A14" s="107"/>
      <c r="B14" s="24"/>
      <c r="C14" s="24"/>
      <c r="D14" s="24"/>
      <c r="E14" s="24"/>
      <c r="F14" s="24"/>
      <c r="G14" s="108"/>
    </row>
    <row r="15" spans="1:7">
      <c r="A15" s="107" t="s">
        <v>190</v>
      </c>
      <c r="B15" s="24">
        <v>67380898</v>
      </c>
      <c r="C15" s="24">
        <f>+D15-B15</f>
        <v>7102038.9600000083</v>
      </c>
      <c r="D15" s="24">
        <f>VLOOKUP($A15,'Análisis Egresos'!$A$8:$D$26,4,0)</f>
        <v>74482936.960000008</v>
      </c>
      <c r="E15" s="24"/>
      <c r="F15" s="45"/>
      <c r="G15" s="108"/>
    </row>
    <row r="16" spans="1:7">
      <c r="A16" s="107"/>
      <c r="B16" s="24"/>
      <c r="C16" s="24"/>
      <c r="D16" s="24"/>
      <c r="E16" s="24"/>
      <c r="F16" s="24"/>
      <c r="G16" s="108"/>
    </row>
    <row r="17" spans="1:7">
      <c r="A17" s="107" t="s">
        <v>51</v>
      </c>
      <c r="B17" s="24">
        <f>VLOOKUP($A17,[2]Hoja16!$B$5:$E$122,2,0)</f>
        <v>4300000</v>
      </c>
      <c r="C17" s="24">
        <f>+D17-B17</f>
        <v>3400410.17</v>
      </c>
      <c r="D17" s="24">
        <f>VLOOKUP($A17,'Análisis Egresos'!$A$8:$D$26,4,0)</f>
        <v>7700410.1699999999</v>
      </c>
      <c r="E17" s="24"/>
      <c r="F17" s="45"/>
      <c r="G17" s="108"/>
    </row>
    <row r="18" spans="1:7">
      <c r="A18" s="107"/>
      <c r="B18" s="24"/>
      <c r="C18" s="24"/>
      <c r="D18" s="24"/>
      <c r="E18" s="24"/>
      <c r="F18" s="24"/>
      <c r="G18" s="108"/>
    </row>
    <row r="19" spans="1:7">
      <c r="A19" s="107" t="s">
        <v>122</v>
      </c>
      <c r="B19" s="24">
        <f>VLOOKUP($A19,[2]Hoja16!$B$5:$E$122,2,0)</f>
        <v>291192382.17000002</v>
      </c>
      <c r="C19" s="24">
        <f>+D19-B19</f>
        <v>-25251432.00999999</v>
      </c>
      <c r="D19" s="24">
        <f>VLOOKUP($A19,'Análisis Egresos'!$A$8:$D$26,4,0)</f>
        <v>265940950.16000003</v>
      </c>
      <c r="E19" s="24"/>
      <c r="F19" s="45"/>
      <c r="G19" s="108"/>
    </row>
    <row r="20" spans="1:7">
      <c r="A20" s="107"/>
      <c r="B20" s="24"/>
      <c r="C20" s="24"/>
      <c r="D20" s="24"/>
      <c r="E20" s="24"/>
      <c r="F20" s="24"/>
      <c r="G20" s="108"/>
    </row>
    <row r="21" spans="1:7">
      <c r="A21" s="107" t="s">
        <v>1</v>
      </c>
      <c r="B21" s="24">
        <v>14540263.43</v>
      </c>
      <c r="C21" s="24">
        <f>+D21-B21</f>
        <v>9112588.2800000012</v>
      </c>
      <c r="D21" s="24">
        <f>VLOOKUP($A21,'Análisis Egresos'!$A$8:$D$26,4,0)</f>
        <v>23652851.710000001</v>
      </c>
      <c r="E21" s="24"/>
      <c r="F21" s="45"/>
      <c r="G21" s="108"/>
    </row>
    <row r="22" spans="1:7">
      <c r="A22" s="107"/>
      <c r="B22" s="24"/>
      <c r="C22" s="24"/>
      <c r="D22" s="24"/>
      <c r="E22" s="24"/>
      <c r="F22" s="24"/>
      <c r="G22" s="108"/>
    </row>
    <row r="23" spans="1:7">
      <c r="A23" s="107" t="s">
        <v>2</v>
      </c>
      <c r="B23" s="24">
        <v>186117010.14000002</v>
      </c>
      <c r="C23" s="24">
        <f>+D23-B23</f>
        <v>48201201.569999993</v>
      </c>
      <c r="D23" s="24">
        <f>VLOOKUP($A23,'Análisis Egresos'!$A$8:$D$26,4,0)</f>
        <v>234318211.71000001</v>
      </c>
      <c r="E23" s="24"/>
      <c r="F23" s="45"/>
      <c r="G23" s="108"/>
    </row>
    <row r="24" spans="1:7">
      <c r="A24" s="107"/>
      <c r="B24" s="24"/>
      <c r="C24" s="24"/>
      <c r="D24" s="24"/>
      <c r="E24" s="24"/>
      <c r="F24" s="24"/>
      <c r="G24" s="108"/>
    </row>
    <row r="25" spans="1:7">
      <c r="A25" s="107" t="s">
        <v>302</v>
      </c>
      <c r="B25" s="24">
        <v>9953400</v>
      </c>
      <c r="C25" s="24">
        <f>+D25-B25</f>
        <v>30640185.109999999</v>
      </c>
      <c r="D25" s="24">
        <f>VLOOKUP($A25,'Análisis Egresos'!$A$8:$D$26,4,0)</f>
        <v>40593585.109999999</v>
      </c>
      <c r="E25" s="24"/>
      <c r="F25" s="45"/>
      <c r="G25" s="108"/>
    </row>
    <row r="26" spans="1:7">
      <c r="A26" s="107"/>
      <c r="B26" s="24"/>
      <c r="C26" s="24"/>
      <c r="D26" s="24"/>
      <c r="E26" s="24"/>
      <c r="F26" s="24"/>
      <c r="G26" s="108"/>
    </row>
    <row r="27" spans="1:7">
      <c r="A27" s="109" t="s">
        <v>354</v>
      </c>
      <c r="B27" s="25">
        <v>98611048.329999998</v>
      </c>
      <c r="C27" s="25">
        <f>+D27-B27</f>
        <v>175588155.21000004</v>
      </c>
      <c r="D27" s="25">
        <f>VLOOKUP($A27,'Análisis Egresos'!$A$8:$D$26,4,0)</f>
        <v>274199203.54000002</v>
      </c>
      <c r="E27" s="25"/>
      <c r="F27" s="25"/>
      <c r="G27" s="272"/>
    </row>
    <row r="28" spans="1:7">
      <c r="A28" s="103"/>
      <c r="B28" s="14"/>
      <c r="C28" s="14"/>
      <c r="D28" s="14"/>
      <c r="E28" s="14"/>
      <c r="F28" s="14"/>
      <c r="G28" s="108"/>
    </row>
    <row r="29" spans="1:7" ht="22.5" customHeight="1">
      <c r="A29" s="434" t="s">
        <v>4</v>
      </c>
      <c r="B29" s="435">
        <f>SUM(B8:B27)</f>
        <v>1165572644.5899999</v>
      </c>
      <c r="C29" s="435">
        <f>SUM(C8:C27)</f>
        <v>274075338.86000007</v>
      </c>
      <c r="D29" s="435">
        <f>SUM(D8:D27)</f>
        <v>1439647983.45</v>
      </c>
      <c r="E29" s="435">
        <f>SUM(E8:E27)</f>
        <v>0</v>
      </c>
      <c r="F29" s="435">
        <f>SUM(F8:F27)</f>
        <v>0</v>
      </c>
      <c r="G29" s="445"/>
    </row>
    <row r="30" spans="1:7" ht="13.5" thickBot="1">
      <c r="A30" s="113"/>
      <c r="B30" s="114"/>
      <c r="C30" s="114"/>
      <c r="D30" s="114"/>
      <c r="E30" s="273"/>
      <c r="F30" s="137"/>
      <c r="G30" s="115"/>
    </row>
    <row r="31" spans="1:7" hidden="1">
      <c r="A31" s="13"/>
      <c r="B31" s="14"/>
      <c r="C31" s="14"/>
      <c r="D31" s="14"/>
      <c r="E31" s="14"/>
      <c r="F31" s="14"/>
      <c r="G31" s="15"/>
    </row>
    <row r="32" spans="1:7" hidden="1">
      <c r="A32" s="13"/>
      <c r="B32" s="14"/>
      <c r="C32" s="14"/>
      <c r="D32" s="14"/>
      <c r="E32" s="14"/>
      <c r="F32" s="14"/>
      <c r="G32" s="15"/>
    </row>
    <row r="33" spans="1:7" hidden="1">
      <c r="A33" s="13"/>
      <c r="B33" s="14"/>
      <c r="C33" s="14"/>
      <c r="D33" s="14"/>
      <c r="E33" s="14"/>
      <c r="F33" s="14"/>
      <c r="G33" s="15"/>
    </row>
    <row r="34" spans="1:7" hidden="1">
      <c r="A34" s="13"/>
      <c r="B34" s="14"/>
      <c r="C34" s="14"/>
      <c r="D34" s="14"/>
      <c r="E34" s="14"/>
      <c r="F34" s="14"/>
      <c r="G34" s="15"/>
    </row>
    <row r="35" spans="1:7" hidden="1">
      <c r="A35" s="13"/>
      <c r="B35" s="14"/>
      <c r="C35" s="14"/>
      <c r="D35" s="14"/>
      <c r="E35" s="14"/>
      <c r="F35" s="14"/>
      <c r="G35" s="15"/>
    </row>
    <row r="36" spans="1:7" hidden="1">
      <c r="A36" s="13"/>
      <c r="B36" s="14"/>
      <c r="C36" s="14"/>
      <c r="D36" s="14"/>
      <c r="E36" s="14"/>
      <c r="F36" s="14"/>
      <c r="G36" s="15"/>
    </row>
    <row r="37" spans="1:7" hidden="1">
      <c r="A37" s="13"/>
      <c r="B37" s="14"/>
      <c r="C37" s="14"/>
      <c r="D37" s="14"/>
      <c r="E37" s="14"/>
      <c r="F37" s="14"/>
      <c r="G37" s="15"/>
    </row>
    <row r="38" spans="1:7" hidden="1">
      <c r="A38" s="13"/>
      <c r="B38" s="14"/>
      <c r="C38" s="14"/>
      <c r="D38" s="14"/>
      <c r="E38" s="14"/>
      <c r="F38" s="14"/>
      <c r="G38" s="15"/>
    </row>
    <row r="39" spans="1:7" hidden="1">
      <c r="A39" s="13"/>
      <c r="B39" s="14"/>
      <c r="C39" s="14"/>
      <c r="D39" s="14"/>
      <c r="E39" s="14"/>
      <c r="F39" s="14"/>
      <c r="G39" s="15"/>
    </row>
    <row r="40" spans="1:7" hidden="1">
      <c r="A40" s="13"/>
      <c r="B40" s="14"/>
      <c r="C40" s="14"/>
      <c r="D40" s="14"/>
      <c r="E40" s="14"/>
      <c r="F40" s="14"/>
      <c r="G40" s="15"/>
    </row>
    <row r="41" spans="1:7" hidden="1">
      <c r="A41" s="13"/>
      <c r="B41" s="14"/>
      <c r="C41" s="14"/>
      <c r="D41" s="14"/>
      <c r="E41" s="14"/>
      <c r="F41" s="14"/>
      <c r="G41" s="15"/>
    </row>
    <row r="42" spans="1:7" hidden="1">
      <c r="A42" s="13"/>
      <c r="B42" s="14"/>
      <c r="C42" s="14"/>
      <c r="D42" s="14"/>
      <c r="E42" s="14"/>
      <c r="F42" s="14"/>
      <c r="G42" s="15"/>
    </row>
    <row r="43" spans="1:7" hidden="1">
      <c r="A43" s="13"/>
      <c r="B43" s="14"/>
      <c r="C43" s="14"/>
      <c r="D43" s="14"/>
      <c r="E43" s="14"/>
      <c r="F43" s="14"/>
      <c r="G43" s="15"/>
    </row>
    <row r="44" spans="1:7" hidden="1">
      <c r="A44" s="13"/>
      <c r="B44" s="14"/>
      <c r="C44" s="14"/>
      <c r="D44" s="14"/>
      <c r="E44" s="14"/>
      <c r="F44" s="14"/>
      <c r="G44" s="15"/>
    </row>
    <row r="45" spans="1:7" hidden="1">
      <c r="A45" s="13"/>
      <c r="B45" s="14"/>
      <c r="C45" s="14"/>
      <c r="D45" s="14"/>
      <c r="E45" s="14"/>
      <c r="F45" s="14"/>
      <c r="G45" s="15"/>
    </row>
    <row r="46" spans="1:7" hidden="1">
      <c r="A46" s="13"/>
      <c r="B46" s="14"/>
      <c r="C46" s="14"/>
      <c r="D46" s="14"/>
      <c r="E46" s="14"/>
      <c r="F46" s="14"/>
      <c r="G46" s="15"/>
    </row>
    <row r="47" spans="1:7" hidden="1">
      <c r="A47" s="16"/>
      <c r="B47" s="17"/>
      <c r="C47" s="17"/>
      <c r="D47" s="17"/>
      <c r="E47" s="17"/>
      <c r="F47" s="17"/>
      <c r="G47" s="18"/>
    </row>
    <row r="48" spans="1:7" hidden="1"/>
  </sheetData>
  <mergeCells count="3">
    <mergeCell ref="A2:G2"/>
    <mergeCell ref="A3:G3"/>
    <mergeCell ref="A1:G1"/>
  </mergeCells>
  <phoneticPr fontId="7" type="noConversion"/>
  <printOptions horizontalCentered="1"/>
  <pageMargins left="0.39370078740157483" right="0.39370078740157483" top="0.47244094488188981" bottom="0.27559055118110237" header="0" footer="0"/>
  <pageSetup scale="83" firstPageNumber="27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8"/>
  <sheetViews>
    <sheetView view="pageBreakPreview" topLeftCell="B1" zoomScaleNormal="75" zoomScaleSheetLayoutView="100" workbookViewId="0">
      <selection activeCell="B6" sqref="B6:G128"/>
    </sheetView>
  </sheetViews>
  <sheetFormatPr baseColWidth="10" defaultColWidth="53.5703125" defaultRowHeight="12.75"/>
  <cols>
    <col min="1" max="1" width="62" bestFit="1" customWidth="1"/>
    <col min="2" max="4" width="14.140625" bestFit="1" customWidth="1"/>
    <col min="5" max="6" width="13.28515625" bestFit="1" customWidth="1"/>
    <col min="7" max="7" width="14.140625" bestFit="1" customWidth="1"/>
    <col min="8" max="8" width="13.28515625" bestFit="1" customWidth="1"/>
    <col min="9" max="11" width="14.140625" bestFit="1" customWidth="1"/>
    <col min="12" max="12" width="13.28515625" bestFit="1" customWidth="1"/>
    <col min="13" max="13" width="15.140625" bestFit="1" customWidth="1"/>
    <col min="14" max="14" width="17" bestFit="1" customWidth="1"/>
    <col min="15" max="15" width="12.7109375" bestFit="1" customWidth="1"/>
  </cols>
  <sheetData>
    <row r="1" spans="1:15" ht="15.75">
      <c r="A1" s="336" t="s">
        <v>366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15">
      <c r="A2" s="335" t="s">
        <v>1131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</row>
    <row r="3" spans="1:15">
      <c r="A3" s="335" t="s">
        <v>208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</row>
    <row r="4" spans="1:15" ht="13.5" thickBot="1"/>
    <row r="5" spans="1:15" s="391" customFormat="1" ht="24.75" customHeight="1" thickBot="1">
      <c r="A5" s="431" t="s">
        <v>0</v>
      </c>
      <c r="B5" s="431" t="s">
        <v>6</v>
      </c>
      <c r="C5" s="431" t="s">
        <v>7</v>
      </c>
      <c r="D5" s="431" t="s">
        <v>8</v>
      </c>
      <c r="E5" s="431" t="s">
        <v>9</v>
      </c>
      <c r="F5" s="431" t="s">
        <v>10</v>
      </c>
      <c r="G5" s="431" t="s">
        <v>11</v>
      </c>
      <c r="H5" s="431" t="s">
        <v>12</v>
      </c>
      <c r="I5" s="431" t="s">
        <v>13</v>
      </c>
      <c r="J5" s="431" t="s">
        <v>16</v>
      </c>
      <c r="K5" s="431" t="s">
        <v>14</v>
      </c>
      <c r="L5" s="431" t="s">
        <v>17</v>
      </c>
      <c r="M5" s="431" t="s">
        <v>15</v>
      </c>
      <c r="N5" s="431" t="s">
        <v>79</v>
      </c>
    </row>
    <row r="6" spans="1:15">
      <c r="A6" s="399" t="s">
        <v>18</v>
      </c>
      <c r="B6" s="400">
        <f>SUM(B7:B12)</f>
        <v>64285467.350000001</v>
      </c>
      <c r="C6" s="400">
        <f t="shared" ref="C6:M6" si="0">SUM(C7:C12)</f>
        <v>20912122.240000002</v>
      </c>
      <c r="D6" s="400">
        <f t="shared" si="0"/>
        <v>10791089.68</v>
      </c>
      <c r="E6" s="400">
        <f t="shared" si="0"/>
        <v>10577647.510000002</v>
      </c>
      <c r="F6" s="400">
        <f t="shared" si="0"/>
        <v>11203862.74</v>
      </c>
      <c r="G6" s="400">
        <f t="shared" si="0"/>
        <v>10557735.629999999</v>
      </c>
      <c r="H6" s="400">
        <f t="shared" si="0"/>
        <v>11327987.92</v>
      </c>
      <c r="I6" s="400">
        <f t="shared" si="0"/>
        <v>12847566.060000001</v>
      </c>
      <c r="J6" s="400">
        <f t="shared" ref="J6" si="1">SUM(J7:J12)</f>
        <v>8248572.7999999998</v>
      </c>
      <c r="K6" s="400">
        <f t="shared" si="0"/>
        <v>8769248.9199999999</v>
      </c>
      <c r="L6" s="400">
        <f t="shared" si="0"/>
        <v>11091838.380000001</v>
      </c>
      <c r="M6" s="400">
        <f t="shared" si="0"/>
        <v>35623347.870000005</v>
      </c>
      <c r="N6" s="401">
        <f>SUM(N7:N12)</f>
        <v>216236487.09999999</v>
      </c>
      <c r="O6" s="30"/>
    </row>
    <row r="7" spans="1:15">
      <c r="A7" s="107" t="s">
        <v>27</v>
      </c>
      <c r="B7" s="87">
        <v>55031871</v>
      </c>
      <c r="C7" s="87">
        <v>13433554</v>
      </c>
      <c r="D7" s="87">
        <v>5346366</v>
      </c>
      <c r="E7" s="87">
        <v>2461491</v>
      </c>
      <c r="F7" s="87">
        <v>3471172</v>
      </c>
      <c r="G7" s="87">
        <v>4502550</v>
      </c>
      <c r="H7" s="87">
        <v>2856936</v>
      </c>
      <c r="I7" s="87">
        <v>3138106</v>
      </c>
      <c r="J7" s="87">
        <v>2045086</v>
      </c>
      <c r="K7" s="87">
        <v>1864625</v>
      </c>
      <c r="L7" s="393">
        <v>2455073</v>
      </c>
      <c r="M7" s="87">
        <v>3262062</v>
      </c>
      <c r="N7" s="402">
        <f t="shared" ref="N7:N12" si="2">SUM(B7:M7)</f>
        <v>99868892</v>
      </c>
      <c r="O7" s="30"/>
    </row>
    <row r="8" spans="1:15">
      <c r="A8" s="107" t="s">
        <v>170</v>
      </c>
      <c r="B8" s="87">
        <v>9253164.3499999996</v>
      </c>
      <c r="C8" s="87">
        <v>7475660.2400000002</v>
      </c>
      <c r="D8" s="87">
        <v>5441293.6799999997</v>
      </c>
      <c r="E8" s="87">
        <v>8103198.96</v>
      </c>
      <c r="F8" s="87">
        <v>7725950.7400000002</v>
      </c>
      <c r="G8" s="87">
        <v>6051737.6299999999</v>
      </c>
      <c r="H8" s="87">
        <v>8471051.9199999999</v>
      </c>
      <c r="I8" s="87">
        <v>9703476.0600000005</v>
      </c>
      <c r="J8" s="87">
        <v>6180660.4500000002</v>
      </c>
      <c r="K8" s="87">
        <v>6902619.9199999999</v>
      </c>
      <c r="L8" s="393">
        <v>8627302.3800000008</v>
      </c>
      <c r="M8" s="87">
        <v>32356195.370000001</v>
      </c>
      <c r="N8" s="402">
        <f t="shared" si="2"/>
        <v>116292311.7</v>
      </c>
      <c r="O8" s="30"/>
    </row>
    <row r="9" spans="1:15">
      <c r="A9" s="107" t="s">
        <v>171</v>
      </c>
      <c r="B9" s="87">
        <v>432</v>
      </c>
      <c r="C9" s="87">
        <v>2908</v>
      </c>
      <c r="D9" s="87">
        <v>3430</v>
      </c>
      <c r="E9" s="87">
        <v>12957.55</v>
      </c>
      <c r="F9" s="87">
        <v>6740</v>
      </c>
      <c r="G9" s="87">
        <v>3448</v>
      </c>
      <c r="H9" s="87">
        <v>0</v>
      </c>
      <c r="I9" s="87">
        <v>5984</v>
      </c>
      <c r="J9" s="87">
        <v>22826.35</v>
      </c>
      <c r="K9" s="87">
        <v>2004</v>
      </c>
      <c r="L9" s="393">
        <v>9463</v>
      </c>
      <c r="M9" s="87">
        <v>5090.5</v>
      </c>
      <c r="N9" s="402">
        <f t="shared" si="2"/>
        <v>75283.399999999994</v>
      </c>
      <c r="O9" s="30"/>
    </row>
    <row r="10" spans="1:15">
      <c r="A10" s="107" t="s">
        <v>172</v>
      </c>
      <c r="B10" s="87"/>
      <c r="C10" s="87"/>
      <c r="D10" s="87"/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/>
      <c r="N10" s="402">
        <f t="shared" si="2"/>
        <v>0</v>
      </c>
      <c r="O10" s="30"/>
    </row>
    <row r="11" spans="1:15">
      <c r="A11" s="107" t="s">
        <v>149</v>
      </c>
      <c r="B11" s="87"/>
      <c r="C11" s="87"/>
      <c r="D11" s="87"/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/>
      <c r="N11" s="402">
        <f t="shared" si="2"/>
        <v>0</v>
      </c>
      <c r="O11" s="30"/>
    </row>
    <row r="12" spans="1:15">
      <c r="A12" s="107" t="s">
        <v>150</v>
      </c>
      <c r="B12" s="87"/>
      <c r="C12" s="87"/>
      <c r="D12" s="87"/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/>
      <c r="N12" s="402">
        <f t="shared" si="2"/>
        <v>0</v>
      </c>
      <c r="O12" s="30"/>
    </row>
    <row r="13" spans="1:15">
      <c r="A13" s="10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402"/>
      <c r="O13" s="30"/>
    </row>
    <row r="14" spans="1:15">
      <c r="A14" s="318" t="s">
        <v>19</v>
      </c>
      <c r="B14" s="394">
        <f>SUM(B15:B26)</f>
        <v>2319234.23</v>
      </c>
      <c r="C14" s="394">
        <f t="shared" ref="C14:M14" si="3">SUM(C15:C26)</f>
        <v>3244780.36</v>
      </c>
      <c r="D14" s="394">
        <f t="shared" si="3"/>
        <v>5850159.2400000002</v>
      </c>
      <c r="E14" s="394">
        <f t="shared" si="3"/>
        <v>3005148.6399999997</v>
      </c>
      <c r="F14" s="394">
        <f t="shared" si="3"/>
        <v>3335009.39</v>
      </c>
      <c r="G14" s="394">
        <f t="shared" si="3"/>
        <v>3565010.64</v>
      </c>
      <c r="H14" s="394">
        <f t="shared" si="3"/>
        <v>6348511.0700000003</v>
      </c>
      <c r="I14" s="394">
        <f t="shared" si="3"/>
        <v>4172958.1100000003</v>
      </c>
      <c r="J14" s="394">
        <f t="shared" ref="J14" si="4">SUM(J15:J26)</f>
        <v>5635977.540000001</v>
      </c>
      <c r="K14" s="394">
        <f t="shared" si="3"/>
        <v>5109385.4700000007</v>
      </c>
      <c r="L14" s="394">
        <f t="shared" si="3"/>
        <v>2190416.06</v>
      </c>
      <c r="M14" s="394">
        <f t="shared" si="3"/>
        <v>6983694.75</v>
      </c>
      <c r="N14" s="403">
        <f>SUM(N15:N26)</f>
        <v>51760285.5</v>
      </c>
      <c r="O14" s="30"/>
    </row>
    <row r="15" spans="1:15">
      <c r="A15" s="107" t="s">
        <v>174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402">
        <f t="shared" ref="N15:N26" si="5">SUM(B15:M15)</f>
        <v>0</v>
      </c>
      <c r="O15" s="30"/>
    </row>
    <row r="16" spans="1:15">
      <c r="A16" s="107" t="s">
        <v>175</v>
      </c>
      <c r="B16" s="87">
        <v>14158.7</v>
      </c>
      <c r="C16" s="87">
        <v>3140</v>
      </c>
      <c r="D16" s="87">
        <v>287880.90000000002</v>
      </c>
      <c r="E16" s="87">
        <v>264383</v>
      </c>
      <c r="F16" s="87">
        <v>172674.25</v>
      </c>
      <c r="G16" s="87">
        <v>168933</v>
      </c>
      <c r="H16" s="87">
        <v>80016</v>
      </c>
      <c r="I16" s="87">
        <v>50471.5</v>
      </c>
      <c r="J16" s="87">
        <v>44053</v>
      </c>
      <c r="K16" s="87">
        <v>22705</v>
      </c>
      <c r="L16" s="87">
        <v>26170.5</v>
      </c>
      <c r="M16" s="87">
        <v>38991</v>
      </c>
      <c r="N16" s="402">
        <f t="shared" si="5"/>
        <v>1173576.8500000001</v>
      </c>
      <c r="O16" s="30"/>
    </row>
    <row r="17" spans="1:15">
      <c r="A17" s="107" t="s">
        <v>176</v>
      </c>
      <c r="B17" s="87">
        <v>1071670.55</v>
      </c>
      <c r="C17" s="87">
        <v>2446128.1</v>
      </c>
      <c r="D17" s="87">
        <v>2169709.52</v>
      </c>
      <c r="E17" s="87">
        <v>1601641.04</v>
      </c>
      <c r="F17" s="87">
        <v>1742836.04</v>
      </c>
      <c r="G17" s="87">
        <v>2199939.08</v>
      </c>
      <c r="H17" s="87">
        <v>5023894.72</v>
      </c>
      <c r="I17" s="87">
        <v>2920098.58</v>
      </c>
      <c r="J17" s="87">
        <v>4668816.62</v>
      </c>
      <c r="K17" s="87">
        <v>4251178.1900000004</v>
      </c>
      <c r="L17" s="87">
        <v>1510665.78</v>
      </c>
      <c r="M17" s="87">
        <v>6282081.3300000001</v>
      </c>
      <c r="N17" s="402">
        <f t="shared" si="5"/>
        <v>35888659.550000004</v>
      </c>
      <c r="O17" s="30"/>
    </row>
    <row r="18" spans="1:15">
      <c r="A18" s="107" t="s">
        <v>275</v>
      </c>
      <c r="B18" s="87">
        <v>44748</v>
      </c>
      <c r="C18" s="87">
        <v>34754</v>
      </c>
      <c r="D18" s="87">
        <v>139408</v>
      </c>
      <c r="E18" s="87">
        <v>75914</v>
      </c>
      <c r="F18" s="87">
        <v>241962</v>
      </c>
      <c r="G18" s="87">
        <v>89374</v>
      </c>
      <c r="H18" s="87">
        <v>89026</v>
      </c>
      <c r="I18" s="87">
        <v>61690</v>
      </c>
      <c r="J18" s="87">
        <v>49526</v>
      </c>
      <c r="K18" s="87">
        <v>31884</v>
      </c>
      <c r="L18" s="87">
        <v>45482.58</v>
      </c>
      <c r="M18" s="87">
        <v>38268</v>
      </c>
      <c r="N18" s="402">
        <f t="shared" si="5"/>
        <v>942036.58</v>
      </c>
      <c r="O18" s="30"/>
    </row>
    <row r="19" spans="1:15">
      <c r="A19" s="107" t="s">
        <v>274</v>
      </c>
      <c r="B19" s="87">
        <v>25664.75</v>
      </c>
      <c r="C19" s="87">
        <v>7948</v>
      </c>
      <c r="D19" s="87">
        <v>1417816.2</v>
      </c>
      <c r="E19" s="87">
        <v>648549.4</v>
      </c>
      <c r="F19" s="87">
        <v>294322.40000000002</v>
      </c>
      <c r="G19" s="87">
        <v>450297.59999999998</v>
      </c>
      <c r="H19" s="87">
        <v>169077.6</v>
      </c>
      <c r="I19" s="87">
        <v>147886.54999999999</v>
      </c>
      <c r="J19" s="87">
        <v>113786.4</v>
      </c>
      <c r="K19" s="87">
        <v>57003.3</v>
      </c>
      <c r="L19" s="87">
        <v>78659</v>
      </c>
      <c r="M19" s="87">
        <v>122986.1</v>
      </c>
      <c r="N19" s="402">
        <f t="shared" si="5"/>
        <v>3533997.3</v>
      </c>
      <c r="O19" s="30"/>
    </row>
    <row r="20" spans="1:15">
      <c r="A20" s="107" t="s">
        <v>179</v>
      </c>
      <c r="B20" s="87"/>
      <c r="C20" s="87"/>
      <c r="D20" s="87"/>
      <c r="E20" s="87">
        <v>0</v>
      </c>
      <c r="F20" s="87">
        <v>0</v>
      </c>
      <c r="G20" s="87">
        <v>0</v>
      </c>
      <c r="H20" s="87"/>
      <c r="I20" s="87"/>
      <c r="J20" s="87"/>
      <c r="K20" s="87"/>
      <c r="L20" s="87"/>
      <c r="M20" s="87"/>
      <c r="N20" s="402">
        <f t="shared" si="5"/>
        <v>0</v>
      </c>
      <c r="O20" s="30"/>
    </row>
    <row r="21" spans="1:15">
      <c r="A21" s="107" t="s">
        <v>273</v>
      </c>
      <c r="B21" s="87">
        <v>261017.52</v>
      </c>
      <c r="C21" s="87">
        <v>244095.63</v>
      </c>
      <c r="D21" s="87">
        <v>327149.95</v>
      </c>
      <c r="E21" s="87">
        <v>258555.78</v>
      </c>
      <c r="F21" s="87">
        <v>242043.51</v>
      </c>
      <c r="G21" s="87">
        <v>235688.72</v>
      </c>
      <c r="H21" s="87">
        <v>326346.90000000002</v>
      </c>
      <c r="I21" s="87">
        <v>331206.48</v>
      </c>
      <c r="J21" s="87">
        <v>220406.03</v>
      </c>
      <c r="K21" s="87">
        <v>315963.74</v>
      </c>
      <c r="L21" s="87">
        <v>213113.83</v>
      </c>
      <c r="M21" s="87">
        <v>189698.66</v>
      </c>
      <c r="N21" s="402">
        <f t="shared" si="5"/>
        <v>3165286.75</v>
      </c>
      <c r="O21" s="30"/>
    </row>
    <row r="22" spans="1:15">
      <c r="A22" s="107" t="s">
        <v>180</v>
      </c>
      <c r="B22" s="87"/>
      <c r="C22" s="87"/>
      <c r="D22" s="87"/>
      <c r="E22" s="87">
        <v>0</v>
      </c>
      <c r="F22" s="87">
        <v>0</v>
      </c>
      <c r="G22" s="87">
        <v>0</v>
      </c>
      <c r="H22" s="87"/>
      <c r="I22" s="87"/>
      <c r="J22" s="87"/>
      <c r="K22" s="87"/>
      <c r="L22" s="87"/>
      <c r="M22" s="87"/>
      <c r="N22" s="402">
        <f t="shared" si="5"/>
        <v>0</v>
      </c>
      <c r="O22" s="30"/>
    </row>
    <row r="23" spans="1:15">
      <c r="A23" s="107" t="s">
        <v>272</v>
      </c>
      <c r="B23" s="87"/>
      <c r="C23" s="87"/>
      <c r="D23" s="87"/>
      <c r="E23" s="87">
        <v>0</v>
      </c>
      <c r="F23" s="87">
        <v>0</v>
      </c>
      <c r="G23" s="87">
        <v>0</v>
      </c>
      <c r="H23" s="87"/>
      <c r="I23" s="87"/>
      <c r="J23" s="87"/>
      <c r="K23" s="87"/>
      <c r="L23" s="87"/>
      <c r="M23" s="87"/>
      <c r="N23" s="402">
        <f t="shared" si="5"/>
        <v>0</v>
      </c>
      <c r="O23" s="30"/>
    </row>
    <row r="24" spans="1:15">
      <c r="A24" s="107" t="s">
        <v>182</v>
      </c>
      <c r="B24" s="87">
        <v>128422.19</v>
      </c>
      <c r="C24" s="87">
        <v>36297.769999999997</v>
      </c>
      <c r="D24" s="87">
        <v>502993.96</v>
      </c>
      <c r="E24" s="87">
        <v>5086</v>
      </c>
      <c r="F24" s="87">
        <v>24933.599999999999</v>
      </c>
      <c r="G24" s="87">
        <v>59555.05</v>
      </c>
      <c r="H24" s="87">
        <v>223799.62</v>
      </c>
      <c r="I24" s="87">
        <v>26424.2</v>
      </c>
      <c r="J24" s="87">
        <v>165547.23000000001</v>
      </c>
      <c r="K24" s="87">
        <v>1496</v>
      </c>
      <c r="L24" s="87">
        <v>30688.3</v>
      </c>
      <c r="M24" s="87">
        <v>31042.39</v>
      </c>
      <c r="N24" s="402">
        <f t="shared" si="5"/>
        <v>1236286.31</v>
      </c>
      <c r="O24" s="30"/>
    </row>
    <row r="25" spans="1:15">
      <c r="A25" s="107" t="s">
        <v>28</v>
      </c>
      <c r="B25" s="87">
        <v>773552.52</v>
      </c>
      <c r="C25" s="87">
        <v>472416.86</v>
      </c>
      <c r="D25" s="87">
        <v>1005200.71</v>
      </c>
      <c r="E25" s="87">
        <v>151019.42000000001</v>
      </c>
      <c r="F25" s="87">
        <v>616237.59</v>
      </c>
      <c r="G25" s="87">
        <v>361223.19</v>
      </c>
      <c r="H25" s="87">
        <v>436350.23</v>
      </c>
      <c r="I25" s="87">
        <v>635180.80000000005</v>
      </c>
      <c r="J25" s="87">
        <v>373842.26</v>
      </c>
      <c r="K25" s="87">
        <v>429155.24</v>
      </c>
      <c r="L25" s="87">
        <v>285636.07</v>
      </c>
      <c r="M25" s="87">
        <v>280627.27</v>
      </c>
      <c r="N25" s="402">
        <f t="shared" si="5"/>
        <v>5820442.1600000001</v>
      </c>
      <c r="O25" s="30"/>
    </row>
    <row r="26" spans="1:15">
      <c r="A26" s="107" t="s">
        <v>150</v>
      </c>
      <c r="B26" s="87"/>
      <c r="C26" s="87"/>
      <c r="D26" s="87"/>
      <c r="E26" s="87"/>
      <c r="F26" s="87"/>
      <c r="G26" s="87"/>
      <c r="H26" s="87">
        <v>0</v>
      </c>
      <c r="I26" s="87"/>
      <c r="J26" s="87"/>
      <c r="K26" s="87"/>
      <c r="L26" s="87"/>
      <c r="M26" s="87"/>
      <c r="N26" s="402">
        <f t="shared" si="5"/>
        <v>0</v>
      </c>
      <c r="O26" s="30"/>
    </row>
    <row r="27" spans="1:15">
      <c r="A27" s="10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402"/>
      <c r="O27" s="30"/>
    </row>
    <row r="28" spans="1:15" ht="38.25">
      <c r="A28" s="404" t="s">
        <v>416</v>
      </c>
      <c r="B28" s="394">
        <f>SUM(B29:B31)</f>
        <v>0</v>
      </c>
      <c r="C28" s="394">
        <f t="shared" ref="C28:M28" si="6">SUM(C29:C31)</f>
        <v>0</v>
      </c>
      <c r="D28" s="394">
        <f t="shared" si="6"/>
        <v>0</v>
      </c>
      <c r="E28" s="394">
        <f t="shared" si="6"/>
        <v>0</v>
      </c>
      <c r="F28" s="394">
        <f t="shared" si="6"/>
        <v>0</v>
      </c>
      <c r="G28" s="394">
        <f t="shared" si="6"/>
        <v>0</v>
      </c>
      <c r="H28" s="394">
        <f t="shared" si="6"/>
        <v>0</v>
      </c>
      <c r="I28" s="394">
        <f t="shared" si="6"/>
        <v>0</v>
      </c>
      <c r="J28" s="394">
        <f t="shared" ref="J28" si="7">SUM(J29:J31)</f>
        <v>0</v>
      </c>
      <c r="K28" s="394">
        <f t="shared" si="6"/>
        <v>0</v>
      </c>
      <c r="L28" s="394">
        <f t="shared" si="6"/>
        <v>0</v>
      </c>
      <c r="M28" s="394">
        <f t="shared" si="6"/>
        <v>0</v>
      </c>
      <c r="N28" s="403">
        <f>SUM(N29:N31)</f>
        <v>0</v>
      </c>
      <c r="O28" s="30"/>
    </row>
    <row r="29" spans="1:15">
      <c r="A29" s="405" t="s">
        <v>290</v>
      </c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402">
        <f>SUM(B29:M29)</f>
        <v>0</v>
      </c>
      <c r="O29" s="30"/>
    </row>
    <row r="30" spans="1:15">
      <c r="A30" s="405" t="s">
        <v>334</v>
      </c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402">
        <f>SUM(B30:M30)</f>
        <v>0</v>
      </c>
      <c r="O30" s="30"/>
    </row>
    <row r="31" spans="1:15">
      <c r="A31" s="405" t="s">
        <v>291</v>
      </c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402">
        <f>SUM(B31:M31)</f>
        <v>0</v>
      </c>
      <c r="O31" s="30"/>
    </row>
    <row r="32" spans="1:15">
      <c r="A32" s="10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402"/>
      <c r="O32" s="30"/>
    </row>
    <row r="33" spans="1:15">
      <c r="A33" s="406" t="s">
        <v>20</v>
      </c>
      <c r="B33" s="394">
        <f>SUM(B34:B44)</f>
        <v>141143.74</v>
      </c>
      <c r="C33" s="394">
        <f t="shared" ref="C33:M33" si="8">SUM(C34:C44)</f>
        <v>215527.43000000002</v>
      </c>
      <c r="D33" s="394">
        <f t="shared" si="8"/>
        <v>630870.19999999995</v>
      </c>
      <c r="E33" s="394">
        <f t="shared" si="8"/>
        <v>581001.53</v>
      </c>
      <c r="F33" s="394">
        <f t="shared" si="8"/>
        <v>1292696.42</v>
      </c>
      <c r="G33" s="394">
        <f t="shared" si="8"/>
        <v>606682.11</v>
      </c>
      <c r="H33" s="394">
        <f t="shared" si="8"/>
        <v>612763.94000000006</v>
      </c>
      <c r="I33" s="394">
        <f t="shared" si="8"/>
        <v>1028170.3099999999</v>
      </c>
      <c r="J33" s="394">
        <f t="shared" ref="J33" si="9">SUM(J34:J44)</f>
        <v>977775.93</v>
      </c>
      <c r="K33" s="394">
        <f t="shared" si="8"/>
        <v>547214.82999999996</v>
      </c>
      <c r="L33" s="394">
        <f t="shared" si="8"/>
        <v>344413.18</v>
      </c>
      <c r="M33" s="394">
        <f t="shared" si="8"/>
        <v>236141.44000000003</v>
      </c>
      <c r="N33" s="403">
        <f>SUM(N34:N44)</f>
        <v>7214401.0599999996</v>
      </c>
      <c r="O33" s="30"/>
    </row>
    <row r="34" spans="1:15">
      <c r="A34" s="107" t="s">
        <v>35</v>
      </c>
      <c r="B34" s="87">
        <v>11135</v>
      </c>
      <c r="C34" s="87">
        <v>10193</v>
      </c>
      <c r="D34" s="87">
        <v>11030</v>
      </c>
      <c r="E34" s="87">
        <v>4907</v>
      </c>
      <c r="F34" s="87">
        <v>12552</v>
      </c>
      <c r="G34" s="87">
        <v>18647</v>
      </c>
      <c r="H34" s="87">
        <v>8602</v>
      </c>
      <c r="I34" s="87">
        <v>4928</v>
      </c>
      <c r="J34" s="87">
        <v>506986</v>
      </c>
      <c r="K34" s="87">
        <v>18284</v>
      </c>
      <c r="L34" s="87">
        <v>9764</v>
      </c>
      <c r="M34" s="87">
        <v>12848</v>
      </c>
      <c r="N34" s="402">
        <f t="shared" ref="N34:N44" si="10">SUM(B34:M34)</f>
        <v>629876</v>
      </c>
      <c r="O34" s="30"/>
    </row>
    <row r="35" spans="1:15">
      <c r="A35" s="107" t="s">
        <v>222</v>
      </c>
      <c r="B35" s="87">
        <v>47927</v>
      </c>
      <c r="C35" s="87">
        <v>59792</v>
      </c>
      <c r="D35" s="87">
        <v>397633.51</v>
      </c>
      <c r="E35" s="87">
        <v>419295</v>
      </c>
      <c r="F35" s="87">
        <v>1119498</v>
      </c>
      <c r="G35" s="87">
        <v>466218.62</v>
      </c>
      <c r="H35" s="87">
        <v>492453.46</v>
      </c>
      <c r="I35" s="87">
        <v>874183.64</v>
      </c>
      <c r="J35" s="87">
        <v>333102.57</v>
      </c>
      <c r="K35" s="87">
        <v>386254.62</v>
      </c>
      <c r="L35" s="87">
        <v>210726.6</v>
      </c>
      <c r="M35" s="87">
        <v>137251.92000000001</v>
      </c>
      <c r="N35" s="402">
        <f t="shared" si="10"/>
        <v>4944336.9399999995</v>
      </c>
      <c r="O35" s="30"/>
    </row>
    <row r="36" spans="1:15">
      <c r="A36" s="107" t="s">
        <v>183</v>
      </c>
      <c r="B36" s="87"/>
      <c r="C36" s="87"/>
      <c r="D36" s="87"/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/>
      <c r="N36" s="402">
        <f t="shared" si="10"/>
        <v>0</v>
      </c>
      <c r="O36" s="30"/>
    </row>
    <row r="37" spans="1:15">
      <c r="A37" s="107" t="s">
        <v>192</v>
      </c>
      <c r="B37" s="87"/>
      <c r="C37" s="87"/>
      <c r="D37" s="87"/>
      <c r="E37" s="87"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/>
      <c r="N37" s="402">
        <f t="shared" si="10"/>
        <v>0</v>
      </c>
      <c r="O37" s="30"/>
    </row>
    <row r="38" spans="1:15">
      <c r="A38" s="107" t="s">
        <v>185</v>
      </c>
      <c r="B38" s="87"/>
      <c r="C38" s="87"/>
      <c r="D38" s="87"/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7"/>
      <c r="N38" s="402">
        <f t="shared" si="10"/>
        <v>0</v>
      </c>
      <c r="O38" s="30"/>
    </row>
    <row r="39" spans="1:15">
      <c r="A39" s="107" t="s">
        <v>193</v>
      </c>
      <c r="B39" s="87"/>
      <c r="C39" s="87"/>
      <c r="D39" s="87"/>
      <c r="E39" s="87"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/>
      <c r="N39" s="402">
        <f t="shared" si="10"/>
        <v>0</v>
      </c>
      <c r="O39" s="30"/>
    </row>
    <row r="40" spans="1:15">
      <c r="A40" s="107" t="s">
        <v>194</v>
      </c>
      <c r="B40" s="87"/>
      <c r="C40" s="87"/>
      <c r="D40" s="87"/>
      <c r="E40" s="87"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/>
      <c r="N40" s="402">
        <f t="shared" si="10"/>
        <v>0</v>
      </c>
      <c r="O40" s="30"/>
    </row>
    <row r="41" spans="1:15">
      <c r="A41" s="107" t="s">
        <v>195</v>
      </c>
      <c r="B41" s="87"/>
      <c r="C41" s="87"/>
      <c r="D41" s="87"/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/>
      <c r="N41" s="402">
        <f t="shared" si="10"/>
        <v>0</v>
      </c>
      <c r="O41" s="30"/>
    </row>
    <row r="42" spans="1:15">
      <c r="A42" s="107" t="s">
        <v>29</v>
      </c>
      <c r="B42" s="87">
        <v>82069.740000000005</v>
      </c>
      <c r="C42" s="87">
        <v>145443.73000000001</v>
      </c>
      <c r="D42" s="87">
        <v>222122.35</v>
      </c>
      <c r="E42" s="87">
        <v>156799.53</v>
      </c>
      <c r="F42" s="87">
        <v>160623.42000000001</v>
      </c>
      <c r="G42" s="87">
        <v>121733.49</v>
      </c>
      <c r="H42" s="87">
        <v>111708.48</v>
      </c>
      <c r="I42" s="87">
        <v>149024.57</v>
      </c>
      <c r="J42" s="87">
        <v>137687.35999999999</v>
      </c>
      <c r="K42" s="87">
        <v>142572.21</v>
      </c>
      <c r="L42" s="87">
        <v>123837.28</v>
      </c>
      <c r="M42" s="87">
        <v>85899.42</v>
      </c>
      <c r="N42" s="402">
        <f t="shared" si="10"/>
        <v>1639521.5799999998</v>
      </c>
      <c r="O42" s="30"/>
    </row>
    <row r="43" spans="1:15">
      <c r="A43" s="107" t="s">
        <v>188</v>
      </c>
      <c r="B43" s="87"/>
      <c r="C43" s="87"/>
      <c r="D43" s="87"/>
      <c r="E43" s="87"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/>
      <c r="N43" s="402">
        <f t="shared" si="10"/>
        <v>0</v>
      </c>
    </row>
    <row r="44" spans="1:15">
      <c r="A44" s="107" t="s">
        <v>28</v>
      </c>
      <c r="B44" s="87">
        <v>12</v>
      </c>
      <c r="C44" s="87">
        <v>98.7</v>
      </c>
      <c r="D44" s="87">
        <v>84.34</v>
      </c>
      <c r="E44" s="87">
        <v>0</v>
      </c>
      <c r="F44" s="87">
        <v>23</v>
      </c>
      <c r="G44" s="87">
        <v>83</v>
      </c>
      <c r="H44" s="87">
        <v>0</v>
      </c>
      <c r="I44" s="87">
        <v>34.1</v>
      </c>
      <c r="J44" s="87">
        <v>0</v>
      </c>
      <c r="K44" s="87">
        <v>104</v>
      </c>
      <c r="L44" s="87">
        <v>85.3</v>
      </c>
      <c r="M44" s="87">
        <v>142.1</v>
      </c>
      <c r="N44" s="402">
        <f t="shared" si="10"/>
        <v>666.54000000000008</v>
      </c>
    </row>
    <row r="45" spans="1:15">
      <c r="A45" s="10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402"/>
    </row>
    <row r="46" spans="1:15">
      <c r="A46" s="406" t="s">
        <v>21</v>
      </c>
      <c r="B46" s="394">
        <f>SUM(B47:B53)</f>
        <v>2746264.07</v>
      </c>
      <c r="C46" s="394">
        <f t="shared" ref="C46:M46" si="11">SUM(C47:C53)</f>
        <v>6101610.209999999</v>
      </c>
      <c r="D46" s="394">
        <f t="shared" si="11"/>
        <v>6945121.629999999</v>
      </c>
      <c r="E46" s="394">
        <f t="shared" si="11"/>
        <v>8545699.6799999997</v>
      </c>
      <c r="F46" s="394">
        <f t="shared" si="11"/>
        <v>2830668.6900000004</v>
      </c>
      <c r="G46" s="394">
        <f t="shared" si="11"/>
        <v>8285968.9400000004</v>
      </c>
      <c r="H46" s="394">
        <f t="shared" si="11"/>
        <v>3956612.5500000003</v>
      </c>
      <c r="I46" s="394">
        <f t="shared" si="11"/>
        <v>8845507.1099999994</v>
      </c>
      <c r="J46" s="394">
        <f t="shared" ref="J46" si="12">SUM(J47:J53)</f>
        <v>6973173.330000001</v>
      </c>
      <c r="K46" s="394">
        <f t="shared" si="11"/>
        <v>3447876</v>
      </c>
      <c r="L46" s="394">
        <f t="shared" si="11"/>
        <v>2435045.17</v>
      </c>
      <c r="M46" s="394">
        <f t="shared" si="11"/>
        <v>13550183.93</v>
      </c>
      <c r="N46" s="403">
        <f>SUM(N47:N53)</f>
        <v>74663731.310000002</v>
      </c>
    </row>
    <row r="47" spans="1:15">
      <c r="A47" s="107" t="s">
        <v>30</v>
      </c>
      <c r="B47" s="87">
        <v>1566996.12</v>
      </c>
      <c r="C47" s="87">
        <v>2728617.28</v>
      </c>
      <c r="D47" s="87">
        <v>5030357.5599999996</v>
      </c>
      <c r="E47" s="87">
        <v>7179541.7599999998</v>
      </c>
      <c r="F47" s="87">
        <v>743916.39</v>
      </c>
      <c r="G47" s="87">
        <v>6403008.5999999996</v>
      </c>
      <c r="H47" s="87">
        <v>2434739</v>
      </c>
      <c r="I47" s="87">
        <v>6776265.21</v>
      </c>
      <c r="J47" s="87">
        <v>4578560.12</v>
      </c>
      <c r="K47" s="87">
        <v>1686694.62</v>
      </c>
      <c r="L47" s="87">
        <v>1012951.61</v>
      </c>
      <c r="M47" s="87">
        <v>399352.64</v>
      </c>
      <c r="N47" s="402">
        <f t="shared" ref="N47:N53" si="13">SUM(B47:M47)</f>
        <v>40541000.909999996</v>
      </c>
    </row>
    <row r="48" spans="1:15">
      <c r="A48" s="107" t="s">
        <v>31</v>
      </c>
      <c r="B48" s="87">
        <v>984626.22</v>
      </c>
      <c r="C48" s="87">
        <v>3197410.5</v>
      </c>
      <c r="D48" s="87">
        <v>1668294.3</v>
      </c>
      <c r="E48" s="87">
        <v>641618.49</v>
      </c>
      <c r="F48" s="87">
        <v>1517161.37</v>
      </c>
      <c r="G48" s="87">
        <v>1194769.53</v>
      </c>
      <c r="H48" s="87">
        <v>1032931.2</v>
      </c>
      <c r="I48" s="87">
        <v>1576060</v>
      </c>
      <c r="J48" s="87">
        <v>958417.9</v>
      </c>
      <c r="K48" s="87">
        <v>1136033.3</v>
      </c>
      <c r="L48" s="87">
        <v>1011492.92</v>
      </c>
      <c r="M48" s="87">
        <v>12691110.699999999</v>
      </c>
      <c r="N48" s="402">
        <f t="shared" si="13"/>
        <v>27609926.43</v>
      </c>
    </row>
    <row r="49" spans="1:14">
      <c r="A49" s="107" t="s">
        <v>32</v>
      </c>
      <c r="B49" s="87"/>
      <c r="C49" s="87"/>
      <c r="D49" s="87"/>
      <c r="E49" s="87">
        <v>0</v>
      </c>
      <c r="F49" s="87">
        <v>0</v>
      </c>
      <c r="G49" s="87">
        <v>0</v>
      </c>
      <c r="H49" s="87">
        <v>0</v>
      </c>
      <c r="I49" s="87"/>
      <c r="J49" s="87"/>
      <c r="K49" s="87"/>
      <c r="L49" s="87"/>
      <c r="M49" s="87"/>
      <c r="N49" s="402">
        <f t="shared" si="13"/>
        <v>0</v>
      </c>
    </row>
    <row r="50" spans="1:14">
      <c r="A50" s="107" t="s">
        <v>196</v>
      </c>
      <c r="B50" s="87"/>
      <c r="C50" s="87"/>
      <c r="D50" s="87"/>
      <c r="E50" s="87">
        <v>0</v>
      </c>
      <c r="F50" s="87">
        <v>0</v>
      </c>
      <c r="G50" s="87">
        <v>0</v>
      </c>
      <c r="H50" s="87">
        <v>0</v>
      </c>
      <c r="I50" s="87"/>
      <c r="J50" s="87"/>
      <c r="K50" s="87"/>
      <c r="L50" s="87"/>
      <c r="M50" s="87"/>
      <c r="N50" s="402">
        <f t="shared" si="13"/>
        <v>0</v>
      </c>
    </row>
    <row r="51" spans="1:14">
      <c r="A51" s="107" t="s">
        <v>33</v>
      </c>
      <c r="B51" s="87"/>
      <c r="C51" s="87"/>
      <c r="D51" s="87"/>
      <c r="E51" s="87">
        <v>0</v>
      </c>
      <c r="F51" s="87">
        <v>0</v>
      </c>
      <c r="G51" s="87">
        <v>0</v>
      </c>
      <c r="H51" s="87">
        <v>0</v>
      </c>
      <c r="I51" s="87"/>
      <c r="J51" s="87"/>
      <c r="K51" s="87"/>
      <c r="L51" s="87"/>
      <c r="M51" s="87"/>
      <c r="N51" s="402">
        <f t="shared" si="13"/>
        <v>0</v>
      </c>
    </row>
    <row r="52" spans="1:14">
      <c r="A52" s="107" t="s">
        <v>28</v>
      </c>
      <c r="B52" s="87">
        <v>62068.1</v>
      </c>
      <c r="C52" s="87">
        <v>69669.5</v>
      </c>
      <c r="D52" s="87">
        <v>113234.09</v>
      </c>
      <c r="E52" s="87">
        <v>452704.1</v>
      </c>
      <c r="F52" s="87">
        <v>238486.25</v>
      </c>
      <c r="G52" s="87">
        <v>311693.65999999997</v>
      </c>
      <c r="H52" s="87">
        <v>185759.08</v>
      </c>
      <c r="I52" s="87">
        <v>151916.9</v>
      </c>
      <c r="J52" s="87">
        <v>1213848.07</v>
      </c>
      <c r="K52" s="87">
        <v>95387.1</v>
      </c>
      <c r="L52" s="87">
        <v>89360.8</v>
      </c>
      <c r="M52" s="87">
        <v>238678.6</v>
      </c>
      <c r="N52" s="402">
        <f t="shared" si="13"/>
        <v>3222806.25</v>
      </c>
    </row>
    <row r="53" spans="1:14">
      <c r="A53" s="109" t="s">
        <v>150</v>
      </c>
      <c r="B53" s="395">
        <v>132573.63</v>
      </c>
      <c r="C53" s="395">
        <v>105912.93</v>
      </c>
      <c r="D53" s="395">
        <v>133235.68</v>
      </c>
      <c r="E53" s="87">
        <v>271835.33</v>
      </c>
      <c r="F53" s="87">
        <v>331104.68</v>
      </c>
      <c r="G53" s="87">
        <v>376497.15</v>
      </c>
      <c r="H53" s="395">
        <v>303183.27</v>
      </c>
      <c r="I53" s="395">
        <v>341265</v>
      </c>
      <c r="J53" s="395">
        <v>222347.24</v>
      </c>
      <c r="K53" s="395">
        <v>529760.98</v>
      </c>
      <c r="L53" s="395">
        <v>321239.84000000003</v>
      </c>
      <c r="M53" s="395">
        <v>221041.99</v>
      </c>
      <c r="N53" s="407">
        <f t="shared" si="13"/>
        <v>3289997.7199999997</v>
      </c>
    </row>
    <row r="54" spans="1:14">
      <c r="A54" s="408"/>
      <c r="B54" s="396"/>
      <c r="C54" s="396"/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409"/>
    </row>
    <row r="55" spans="1:14">
      <c r="A55" s="410" t="s">
        <v>22</v>
      </c>
      <c r="B55" s="392">
        <f>SUM(B56:B64)</f>
        <v>25909799.710000001</v>
      </c>
      <c r="C55" s="392">
        <f t="shared" ref="C55:N55" si="14">SUM(C56:C64)</f>
        <v>38576124</v>
      </c>
      <c r="D55" s="392">
        <f t="shared" si="14"/>
        <v>30240823</v>
      </c>
      <c r="E55" s="392">
        <f t="shared" si="14"/>
        <v>31335100</v>
      </c>
      <c r="F55" s="392">
        <f t="shared" si="14"/>
        <v>30362877</v>
      </c>
      <c r="G55" s="392">
        <f t="shared" si="14"/>
        <v>28795083</v>
      </c>
      <c r="H55" s="392">
        <f t="shared" si="14"/>
        <v>32336550</v>
      </c>
      <c r="I55" s="392">
        <f t="shared" si="14"/>
        <v>26082359</v>
      </c>
      <c r="J55" s="392">
        <f t="shared" ref="J55" si="15">SUM(J56:J64)</f>
        <v>28764993</v>
      </c>
      <c r="K55" s="392">
        <f t="shared" si="14"/>
        <v>34749651</v>
      </c>
      <c r="L55" s="392">
        <f t="shared" si="14"/>
        <v>29926752</v>
      </c>
      <c r="M55" s="392">
        <f t="shared" si="14"/>
        <v>56310476</v>
      </c>
      <c r="N55" s="411">
        <f t="shared" si="14"/>
        <v>393390587.71000004</v>
      </c>
    </row>
    <row r="56" spans="1:14">
      <c r="A56" s="107" t="s">
        <v>36</v>
      </c>
      <c r="B56" s="87">
        <v>20720252.710000001</v>
      </c>
      <c r="C56" s="87">
        <v>25853451</v>
      </c>
      <c r="D56" s="87">
        <v>19232990</v>
      </c>
      <c r="E56" s="87">
        <v>21488746</v>
      </c>
      <c r="F56" s="87">
        <v>19807397</v>
      </c>
      <c r="G56" s="87">
        <v>22034204</v>
      </c>
      <c r="H56" s="87">
        <v>24872870</v>
      </c>
      <c r="I56" s="87">
        <v>18040849</v>
      </c>
      <c r="J56" s="87">
        <v>20535604</v>
      </c>
      <c r="K56" s="87">
        <v>26941074</v>
      </c>
      <c r="L56" s="87">
        <v>22673684</v>
      </c>
      <c r="M56" s="87">
        <v>49899604</v>
      </c>
      <c r="N56" s="402">
        <f t="shared" ref="N56:N64" si="16">SUM(B56:M56)</f>
        <v>292100725.71000004</v>
      </c>
    </row>
    <row r="57" spans="1:14">
      <c r="A57" s="107" t="s">
        <v>37</v>
      </c>
      <c r="B57" s="87">
        <v>1046497</v>
      </c>
      <c r="C57" s="87">
        <v>2279451</v>
      </c>
      <c r="D57" s="87">
        <v>3612372</v>
      </c>
      <c r="E57" s="87">
        <v>1898637</v>
      </c>
      <c r="F57" s="87">
        <v>4521768</v>
      </c>
      <c r="G57" s="87">
        <v>1702403</v>
      </c>
      <c r="H57" s="87">
        <v>2344120</v>
      </c>
      <c r="I57" s="87">
        <v>1559717</v>
      </c>
      <c r="J57" s="87">
        <v>2161452</v>
      </c>
      <c r="K57" s="87">
        <v>2450788</v>
      </c>
      <c r="L57" s="87">
        <v>2887790</v>
      </c>
      <c r="M57" s="87">
        <v>2431028</v>
      </c>
      <c r="N57" s="402">
        <f t="shared" si="16"/>
        <v>28896023</v>
      </c>
    </row>
    <row r="58" spans="1:14">
      <c r="A58" s="107" t="s">
        <v>197</v>
      </c>
      <c r="B58" s="87"/>
      <c r="C58" s="87"/>
      <c r="D58" s="87"/>
      <c r="E58" s="87">
        <v>0</v>
      </c>
      <c r="F58" s="87">
        <v>0</v>
      </c>
      <c r="G58" s="87">
        <v>0</v>
      </c>
      <c r="H58" s="87">
        <v>0</v>
      </c>
      <c r="I58" s="87"/>
      <c r="J58" s="87"/>
      <c r="K58" s="87"/>
      <c r="L58" s="87"/>
      <c r="M58" s="87"/>
      <c r="N58" s="402">
        <f t="shared" si="16"/>
        <v>0</v>
      </c>
    </row>
    <row r="59" spans="1:14">
      <c r="A59" s="107" t="s">
        <v>34</v>
      </c>
      <c r="B59" s="87">
        <v>0</v>
      </c>
      <c r="C59" s="87">
        <v>6066464</v>
      </c>
      <c r="D59" s="87">
        <v>4018376</v>
      </c>
      <c r="E59" s="87">
        <v>3961355</v>
      </c>
      <c r="F59" s="87">
        <v>2990049</v>
      </c>
      <c r="G59" s="87">
        <v>2251020</v>
      </c>
      <c r="H59" s="87">
        <v>1261228</v>
      </c>
      <c r="I59" s="87">
        <v>3082949</v>
      </c>
      <c r="J59" s="87">
        <v>2864448</v>
      </c>
      <c r="K59" s="87">
        <v>1225496</v>
      </c>
      <c r="L59" s="87">
        <v>882307</v>
      </c>
      <c r="M59" s="87">
        <v>484388</v>
      </c>
      <c r="N59" s="402">
        <f t="shared" si="16"/>
        <v>29088080</v>
      </c>
    </row>
    <row r="60" spans="1:14">
      <c r="A60" s="107" t="s">
        <v>165</v>
      </c>
      <c r="B60" s="87"/>
      <c r="C60" s="87"/>
      <c r="D60" s="87"/>
      <c r="E60" s="87">
        <v>0</v>
      </c>
      <c r="F60" s="87">
        <v>0</v>
      </c>
      <c r="G60" s="87">
        <v>0</v>
      </c>
      <c r="H60" s="87">
        <v>0</v>
      </c>
      <c r="I60" s="87"/>
      <c r="J60" s="87"/>
      <c r="K60" s="87"/>
      <c r="L60" s="87"/>
      <c r="M60" s="87"/>
      <c r="N60" s="402">
        <f t="shared" si="16"/>
        <v>0</v>
      </c>
    </row>
    <row r="61" spans="1:14">
      <c r="A61" s="107" t="s">
        <v>151</v>
      </c>
      <c r="B61" s="87">
        <v>534538</v>
      </c>
      <c r="C61" s="87">
        <v>559687</v>
      </c>
      <c r="D61" s="87">
        <v>350439</v>
      </c>
      <c r="E61" s="87">
        <v>430938</v>
      </c>
      <c r="F61" s="87">
        <v>167685</v>
      </c>
      <c r="G61" s="87">
        <v>445841</v>
      </c>
      <c r="H61" s="87">
        <v>248324</v>
      </c>
      <c r="I61" s="87">
        <v>301421</v>
      </c>
      <c r="J61" s="87">
        <v>235679</v>
      </c>
      <c r="K61" s="87">
        <v>366857</v>
      </c>
      <c r="L61" s="87">
        <v>298274</v>
      </c>
      <c r="M61" s="87">
        <v>260267</v>
      </c>
      <c r="N61" s="402">
        <f t="shared" si="16"/>
        <v>4199950</v>
      </c>
    </row>
    <row r="62" spans="1:14">
      <c r="A62" s="107" t="s">
        <v>198</v>
      </c>
      <c r="B62" s="87">
        <v>789786</v>
      </c>
      <c r="C62" s="87">
        <v>1846000</v>
      </c>
      <c r="D62" s="87">
        <v>407954</v>
      </c>
      <c r="E62" s="87">
        <v>648743</v>
      </c>
      <c r="F62" s="87">
        <v>626993</v>
      </c>
      <c r="G62" s="87">
        <v>128967</v>
      </c>
      <c r="H62" s="87">
        <v>740877</v>
      </c>
      <c r="I62" s="87">
        <v>733954</v>
      </c>
      <c r="J62" s="87">
        <v>673540</v>
      </c>
      <c r="K62" s="87">
        <v>875422</v>
      </c>
      <c r="L62" s="87">
        <v>697015</v>
      </c>
      <c r="M62" s="87">
        <v>694784</v>
      </c>
      <c r="N62" s="402">
        <f t="shared" si="16"/>
        <v>8864035</v>
      </c>
    </row>
    <row r="63" spans="1:14">
      <c r="A63" s="107" t="s">
        <v>446</v>
      </c>
      <c r="B63" s="87">
        <v>1157354</v>
      </c>
      <c r="C63" s="87">
        <v>785230</v>
      </c>
      <c r="D63" s="87">
        <v>785230</v>
      </c>
      <c r="E63" s="87">
        <v>1480801</v>
      </c>
      <c r="F63" s="87">
        <v>785230</v>
      </c>
      <c r="G63" s="87">
        <v>782665</v>
      </c>
      <c r="H63" s="87">
        <v>1399487</v>
      </c>
      <c r="I63" s="87">
        <v>785230</v>
      </c>
      <c r="J63" s="87">
        <v>785230</v>
      </c>
      <c r="K63" s="87">
        <v>1331460</v>
      </c>
      <c r="L63" s="87">
        <v>1026502</v>
      </c>
      <c r="M63" s="87">
        <v>992642</v>
      </c>
      <c r="N63" s="402">
        <f t="shared" si="16"/>
        <v>12097061</v>
      </c>
    </row>
    <row r="64" spans="1:14" ht="13.5" thickBot="1">
      <c r="A64" s="417" t="s">
        <v>454</v>
      </c>
      <c r="B64" s="418">
        <v>1661372</v>
      </c>
      <c r="C64" s="418">
        <v>1185841</v>
      </c>
      <c r="D64" s="418">
        <v>1833462</v>
      </c>
      <c r="E64" s="418">
        <v>1425880</v>
      </c>
      <c r="F64" s="418">
        <v>1463755</v>
      </c>
      <c r="G64" s="418">
        <v>1449983</v>
      </c>
      <c r="H64" s="418">
        <v>1469644</v>
      </c>
      <c r="I64" s="418">
        <v>1578239</v>
      </c>
      <c r="J64" s="418">
        <v>1509040</v>
      </c>
      <c r="K64" s="418">
        <v>1558554</v>
      </c>
      <c r="L64" s="418">
        <v>1461180</v>
      </c>
      <c r="M64" s="418">
        <v>1547763</v>
      </c>
      <c r="N64" s="419">
        <f t="shared" si="16"/>
        <v>18144713</v>
      </c>
    </row>
    <row r="65" spans="1:14">
      <c r="A65" s="406" t="s">
        <v>205</v>
      </c>
      <c r="B65" s="394">
        <f>SUM(B66:B71)</f>
        <v>12544.57</v>
      </c>
      <c r="C65" s="394">
        <f t="shared" ref="C65:N65" si="17">SUM(C66:C71)</f>
        <v>2580998.19</v>
      </c>
      <c r="D65" s="394">
        <f t="shared" si="17"/>
        <v>1305645.1000000001</v>
      </c>
      <c r="E65" s="394">
        <f t="shared" si="17"/>
        <v>1296499.0900000003</v>
      </c>
      <c r="F65" s="394">
        <f t="shared" si="17"/>
        <v>1290950.6099999999</v>
      </c>
      <c r="G65" s="394">
        <f t="shared" si="17"/>
        <v>1288520.28</v>
      </c>
      <c r="H65" s="394">
        <f t="shared" si="17"/>
        <v>1293239.78</v>
      </c>
      <c r="I65" s="394">
        <f t="shared" si="17"/>
        <v>1298181.3500000001</v>
      </c>
      <c r="J65" s="394">
        <f t="shared" ref="J65" si="18">SUM(J66:J71)</f>
        <v>1300930.96</v>
      </c>
      <c r="K65" s="394">
        <f t="shared" si="17"/>
        <v>1302796.1200000001</v>
      </c>
      <c r="L65" s="394">
        <f t="shared" si="17"/>
        <v>25221.62</v>
      </c>
      <c r="M65" s="394">
        <f t="shared" si="17"/>
        <v>21033.33</v>
      </c>
      <c r="N65" s="403">
        <f t="shared" si="17"/>
        <v>13016561</v>
      </c>
    </row>
    <row r="66" spans="1:14">
      <c r="A66" s="412" t="s">
        <v>292</v>
      </c>
      <c r="B66" s="87">
        <v>0</v>
      </c>
      <c r="C66" s="87">
        <v>2569786.2000000002</v>
      </c>
      <c r="D66" s="87">
        <v>1284893.1000000001</v>
      </c>
      <c r="E66" s="87">
        <v>1284893.1000000001</v>
      </c>
      <c r="F66" s="87">
        <v>1284893</v>
      </c>
      <c r="G66" s="87">
        <v>1284893</v>
      </c>
      <c r="H66" s="87">
        <v>1284893</v>
      </c>
      <c r="I66" s="87">
        <v>1284893</v>
      </c>
      <c r="J66" s="87">
        <v>1284893</v>
      </c>
      <c r="K66" s="87">
        <v>1284893</v>
      </c>
      <c r="L66" s="87">
        <v>0</v>
      </c>
      <c r="M66" s="87">
        <v>0</v>
      </c>
      <c r="N66" s="402">
        <f t="shared" ref="N66:N71" si="19">SUM(B66:M66)</f>
        <v>12848930.4</v>
      </c>
    </row>
    <row r="67" spans="1:14">
      <c r="A67" s="412" t="s">
        <v>468</v>
      </c>
      <c r="B67" s="87"/>
      <c r="C67" s="87"/>
      <c r="D67" s="87"/>
      <c r="E67" s="87">
        <v>0</v>
      </c>
      <c r="F67" s="87">
        <v>0</v>
      </c>
      <c r="G67" s="87">
        <v>0</v>
      </c>
      <c r="H67" s="87">
        <v>0</v>
      </c>
      <c r="I67" s="87">
        <v>135.30000000000001</v>
      </c>
      <c r="J67" s="87">
        <v>314.13</v>
      </c>
      <c r="K67" s="87">
        <v>322.60000000000002</v>
      </c>
      <c r="L67" s="87">
        <v>310.61</v>
      </c>
      <c r="M67" s="87">
        <v>334.77</v>
      </c>
      <c r="N67" s="402">
        <f t="shared" si="19"/>
        <v>1417.4099999999999</v>
      </c>
    </row>
    <row r="68" spans="1:14">
      <c r="A68" s="412" t="s">
        <v>471</v>
      </c>
      <c r="B68" s="87">
        <v>905.92</v>
      </c>
      <c r="C68" s="87">
        <v>803.12</v>
      </c>
      <c r="D68" s="87">
        <v>889.31</v>
      </c>
      <c r="E68" s="87">
        <v>833.05</v>
      </c>
      <c r="F68" s="87">
        <v>919.55</v>
      </c>
      <c r="G68" s="87">
        <v>861.78</v>
      </c>
      <c r="H68" s="87">
        <v>833.15</v>
      </c>
      <c r="I68" s="87">
        <v>919.81</v>
      </c>
      <c r="J68" s="87">
        <v>831.35</v>
      </c>
      <c r="K68" s="87">
        <v>858.22</v>
      </c>
      <c r="L68" s="87">
        <v>830.62</v>
      </c>
      <c r="M68" s="87">
        <v>830.27</v>
      </c>
      <c r="N68" s="402">
        <f t="shared" si="19"/>
        <v>10316.15</v>
      </c>
    </row>
    <row r="69" spans="1:14">
      <c r="A69" s="412" t="s">
        <v>470</v>
      </c>
      <c r="B69" s="87">
        <v>11638.65</v>
      </c>
      <c r="C69" s="87">
        <v>10087.07</v>
      </c>
      <c r="D69" s="87">
        <v>9884.42</v>
      </c>
      <c r="E69" s="87">
        <v>5143.1000000000004</v>
      </c>
      <c r="F69" s="87">
        <v>0</v>
      </c>
      <c r="G69" s="87">
        <v>0</v>
      </c>
      <c r="H69" s="87">
        <v>1121.96</v>
      </c>
      <c r="I69" s="87">
        <v>333.26</v>
      </c>
      <c r="J69" s="87">
        <v>833.21</v>
      </c>
      <c r="K69" s="87">
        <v>605.87</v>
      </c>
      <c r="L69" s="87">
        <v>244.76</v>
      </c>
      <c r="M69" s="87">
        <v>270.73</v>
      </c>
      <c r="N69" s="402">
        <f t="shared" si="19"/>
        <v>40163.030000000006</v>
      </c>
    </row>
    <row r="70" spans="1:14">
      <c r="A70" s="412" t="s">
        <v>580</v>
      </c>
      <c r="B70" s="87">
        <v>0</v>
      </c>
      <c r="C70" s="87">
        <v>321.8</v>
      </c>
      <c r="D70" s="87">
        <v>984.2</v>
      </c>
      <c r="E70" s="87">
        <v>923.61</v>
      </c>
      <c r="F70" s="87">
        <v>1021.66</v>
      </c>
      <c r="G70" s="87">
        <v>961.71</v>
      </c>
      <c r="H70" s="87">
        <v>932.58</v>
      </c>
      <c r="I70" s="87">
        <v>1040.8499999999999</v>
      </c>
      <c r="J70" s="87">
        <v>270.33999999999997</v>
      </c>
      <c r="K70" s="87">
        <v>349.04</v>
      </c>
      <c r="L70" s="87">
        <v>806.22</v>
      </c>
      <c r="M70" s="87">
        <v>175.82</v>
      </c>
      <c r="N70" s="402">
        <f t="shared" si="19"/>
        <v>7787.83</v>
      </c>
    </row>
    <row r="71" spans="1:14">
      <c r="A71" s="413" t="s">
        <v>1147</v>
      </c>
      <c r="B71" s="87"/>
      <c r="C71" s="87"/>
      <c r="D71" s="87">
        <v>8994.07</v>
      </c>
      <c r="E71" s="87">
        <v>4706.2299999999996</v>
      </c>
      <c r="F71" s="87">
        <v>4116.3999999999996</v>
      </c>
      <c r="G71" s="87">
        <v>1803.79</v>
      </c>
      <c r="H71" s="87">
        <v>5459.09</v>
      </c>
      <c r="I71" s="87">
        <v>10859.13</v>
      </c>
      <c r="J71" s="87">
        <v>13788.93</v>
      </c>
      <c r="K71" s="87">
        <v>15767.39</v>
      </c>
      <c r="L71" s="87">
        <v>23029.41</v>
      </c>
      <c r="M71" s="87">
        <v>19421.740000000002</v>
      </c>
      <c r="N71" s="402">
        <f t="shared" si="19"/>
        <v>107946.18000000001</v>
      </c>
    </row>
    <row r="72" spans="1:14">
      <c r="A72" s="406" t="s">
        <v>24</v>
      </c>
      <c r="B72" s="394">
        <f>SUM(B73:B77)</f>
        <v>54130.400000000001</v>
      </c>
      <c r="C72" s="394">
        <f t="shared" ref="C72" si="20">SUM(C73:C77)</f>
        <v>36696230.399999999</v>
      </c>
      <c r="D72" s="394">
        <f>SUM(D73:D78)</f>
        <v>18429737.250000004</v>
      </c>
      <c r="E72" s="394">
        <f t="shared" ref="E72:N72" si="21">SUM(E73:E78)</f>
        <v>18407495.370000001</v>
      </c>
      <c r="F72" s="394">
        <f t="shared" si="21"/>
        <v>18474152.09</v>
      </c>
      <c r="G72" s="394">
        <f t="shared" si="21"/>
        <v>18435890.109999999</v>
      </c>
      <c r="H72" s="394">
        <f t="shared" si="21"/>
        <v>18470892.77</v>
      </c>
      <c r="I72" s="394">
        <f t="shared" si="21"/>
        <v>18440514.140000001</v>
      </c>
      <c r="J72" s="394">
        <f t="shared" ref="J72" si="22">SUM(J73:J78)</f>
        <v>18445009.890000001</v>
      </c>
      <c r="K72" s="394">
        <f t="shared" si="21"/>
        <v>18414538.5</v>
      </c>
      <c r="L72" s="394">
        <f t="shared" si="21"/>
        <v>18429665.68</v>
      </c>
      <c r="M72" s="394">
        <f t="shared" si="21"/>
        <v>18416668.5</v>
      </c>
      <c r="N72" s="403">
        <f t="shared" si="21"/>
        <v>221114925.10000002</v>
      </c>
    </row>
    <row r="73" spans="1:14">
      <c r="A73" s="265" t="s">
        <v>292</v>
      </c>
      <c r="B73" s="87">
        <v>0</v>
      </c>
      <c r="C73" s="87">
        <v>36627272</v>
      </c>
      <c r="D73" s="397">
        <v>18313636</v>
      </c>
      <c r="E73" s="397">
        <v>18313636</v>
      </c>
      <c r="F73" s="397">
        <v>18313636</v>
      </c>
      <c r="G73" s="397">
        <v>18313636</v>
      </c>
      <c r="H73" s="87">
        <v>18313636</v>
      </c>
      <c r="I73" s="87">
        <v>18313636</v>
      </c>
      <c r="J73" s="87">
        <v>18313636</v>
      </c>
      <c r="K73" s="87">
        <v>18313636</v>
      </c>
      <c r="L73" s="87">
        <v>18313636</v>
      </c>
      <c r="M73" s="87">
        <v>18313636</v>
      </c>
      <c r="N73" s="402">
        <f t="shared" ref="N73:N79" si="23">SUM(B73:M73)</f>
        <v>219763632</v>
      </c>
    </row>
    <row r="74" spans="1:14">
      <c r="A74" s="265" t="s">
        <v>472</v>
      </c>
      <c r="B74" s="87"/>
      <c r="C74" s="87"/>
      <c r="D74" s="87"/>
      <c r="E74" s="87"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87">
        <v>0</v>
      </c>
      <c r="M74" s="87">
        <v>0</v>
      </c>
      <c r="N74" s="402">
        <f t="shared" si="23"/>
        <v>0</v>
      </c>
    </row>
    <row r="75" spans="1:14">
      <c r="A75" s="265" t="s">
        <v>469</v>
      </c>
      <c r="B75" s="87">
        <v>953.93</v>
      </c>
      <c r="C75" s="87">
        <v>845.15</v>
      </c>
      <c r="D75" s="87">
        <v>935.76</v>
      </c>
      <c r="E75" s="87">
        <v>876.6</v>
      </c>
      <c r="F75" s="87">
        <v>967.56</v>
      </c>
      <c r="G75" s="87">
        <v>906.79</v>
      </c>
      <c r="H75" s="87">
        <v>876.78</v>
      </c>
      <c r="I75" s="87">
        <v>968.41</v>
      </c>
      <c r="J75" s="87">
        <v>875.7</v>
      </c>
      <c r="K75" s="87">
        <v>904.53</v>
      </c>
      <c r="L75" s="87">
        <v>875.45</v>
      </c>
      <c r="M75" s="87">
        <v>874.7</v>
      </c>
      <c r="N75" s="402">
        <f t="shared" si="23"/>
        <v>10861.360000000002</v>
      </c>
    </row>
    <row r="76" spans="1:14">
      <c r="A76" s="265" t="s">
        <v>473</v>
      </c>
      <c r="B76" s="87"/>
      <c r="C76" s="87"/>
      <c r="D76" s="87"/>
      <c r="E76" s="87">
        <v>0</v>
      </c>
      <c r="F76" s="87">
        <v>0</v>
      </c>
      <c r="G76" s="87">
        <v>0</v>
      </c>
      <c r="H76" s="87">
        <v>0</v>
      </c>
      <c r="I76" s="87">
        <v>93.21</v>
      </c>
      <c r="J76" s="87">
        <v>237.06</v>
      </c>
      <c r="K76" s="87">
        <v>254.21</v>
      </c>
      <c r="L76" s="87">
        <v>245.95</v>
      </c>
      <c r="M76" s="87">
        <v>270.97000000000003</v>
      </c>
      <c r="N76" s="402">
        <f t="shared" si="23"/>
        <v>1101.4000000000001</v>
      </c>
    </row>
    <row r="77" spans="1:14">
      <c r="A77" s="265" t="s">
        <v>581</v>
      </c>
      <c r="B77" s="87">
        <v>53176.47</v>
      </c>
      <c r="C77" s="87">
        <v>68113.25</v>
      </c>
      <c r="D77" s="87">
        <v>43785.89</v>
      </c>
      <c r="E77" s="87">
        <v>35487.870000000003</v>
      </c>
      <c r="F77" s="87">
        <v>35650.639999999999</v>
      </c>
      <c r="G77" s="87">
        <v>8983.68</v>
      </c>
      <c r="H77" s="87">
        <v>23233.15</v>
      </c>
      <c r="I77" s="87">
        <v>21983.83</v>
      </c>
      <c r="J77" s="87">
        <v>15424.1</v>
      </c>
      <c r="K77" s="87">
        <v>12928.83</v>
      </c>
      <c r="L77" s="87">
        <v>8237.2800000000007</v>
      </c>
      <c r="M77" s="87">
        <v>2458.89</v>
      </c>
      <c r="N77" s="402">
        <f t="shared" si="23"/>
        <v>329463.88000000006</v>
      </c>
    </row>
    <row r="78" spans="1:14">
      <c r="A78" s="253" t="s">
        <v>1157</v>
      </c>
      <c r="B78" s="87"/>
      <c r="C78" s="87"/>
      <c r="D78" s="87">
        <v>71379.600000000006</v>
      </c>
      <c r="E78" s="87">
        <v>57494.9</v>
      </c>
      <c r="F78" s="87">
        <v>123897.89</v>
      </c>
      <c r="G78" s="87">
        <v>112363.64</v>
      </c>
      <c r="H78" s="87">
        <v>133146.84</v>
      </c>
      <c r="I78" s="87">
        <v>103832.69</v>
      </c>
      <c r="J78" s="87">
        <v>114837.03</v>
      </c>
      <c r="K78" s="87">
        <v>86814.93</v>
      </c>
      <c r="L78" s="87">
        <v>106671</v>
      </c>
      <c r="M78" s="87">
        <v>99427.94</v>
      </c>
      <c r="N78" s="402">
        <f t="shared" si="23"/>
        <v>1009866.46</v>
      </c>
    </row>
    <row r="79" spans="1:14" ht="13.5" thickBot="1">
      <c r="A79" s="319" t="s">
        <v>225</v>
      </c>
      <c r="B79" s="414">
        <v>0</v>
      </c>
      <c r="C79" s="414">
        <v>0</v>
      </c>
      <c r="D79" s="414">
        <v>0</v>
      </c>
      <c r="E79" s="414">
        <v>0</v>
      </c>
      <c r="F79" s="414">
        <v>0</v>
      </c>
      <c r="G79" s="414">
        <v>0</v>
      </c>
      <c r="H79" s="414">
        <v>0</v>
      </c>
      <c r="I79" s="414">
        <v>0</v>
      </c>
      <c r="J79" s="414">
        <v>0</v>
      </c>
      <c r="K79" s="414">
        <v>0</v>
      </c>
      <c r="L79" s="414">
        <v>0</v>
      </c>
      <c r="M79" s="414">
        <v>0</v>
      </c>
      <c r="N79" s="415">
        <f t="shared" si="23"/>
        <v>0</v>
      </c>
    </row>
    <row r="80" spans="1:14" ht="13.5" thickBot="1">
      <c r="A80" s="50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</row>
    <row r="81" spans="1:14">
      <c r="A81" s="399" t="s">
        <v>169</v>
      </c>
      <c r="B81" s="400">
        <f>SUM(B82:B111)</f>
        <v>265668</v>
      </c>
      <c r="C81" s="400">
        <f t="shared" ref="C81:N81" si="24">SUM(C82:C111)</f>
        <v>587932.84000000008</v>
      </c>
      <c r="D81" s="400">
        <f t="shared" si="24"/>
        <v>0</v>
      </c>
      <c r="E81" s="400">
        <f t="shared" si="24"/>
        <v>7776702</v>
      </c>
      <c r="F81" s="400">
        <f t="shared" si="24"/>
        <v>1750317</v>
      </c>
      <c r="G81" s="400">
        <f t="shared" si="24"/>
        <v>1614299.46</v>
      </c>
      <c r="H81" s="400">
        <f t="shared" si="24"/>
        <v>8902204</v>
      </c>
      <c r="I81" s="400">
        <f t="shared" si="24"/>
        <v>47078821.269999996</v>
      </c>
      <c r="J81" s="400">
        <f t="shared" ref="J81" si="25">SUM(J82:J111)</f>
        <v>3452336.23</v>
      </c>
      <c r="K81" s="400">
        <f t="shared" si="24"/>
        <v>15702645.560000001</v>
      </c>
      <c r="L81" s="400">
        <f t="shared" si="24"/>
        <v>17609295.199999999</v>
      </c>
      <c r="M81" s="400">
        <f t="shared" si="24"/>
        <v>16010531.41</v>
      </c>
      <c r="N81" s="401">
        <f t="shared" si="24"/>
        <v>120750752.97</v>
      </c>
    </row>
    <row r="82" spans="1:14">
      <c r="A82" s="107" t="s">
        <v>199</v>
      </c>
      <c r="B82" s="87"/>
      <c r="C82" s="87"/>
      <c r="D82" s="87"/>
      <c r="E82" s="87">
        <v>0</v>
      </c>
      <c r="F82" s="87">
        <v>0</v>
      </c>
      <c r="G82" s="87">
        <v>0</v>
      </c>
      <c r="H82" s="87">
        <v>0</v>
      </c>
      <c r="I82" s="87">
        <v>0</v>
      </c>
      <c r="J82" s="87">
        <v>0</v>
      </c>
      <c r="K82" s="87">
        <v>0</v>
      </c>
      <c r="L82" s="87"/>
      <c r="M82" s="87"/>
      <c r="N82" s="402">
        <f t="shared" ref="N82:N111" si="26">SUM(B82:M82)</f>
        <v>0</v>
      </c>
    </row>
    <row r="83" spans="1:14">
      <c r="A83" s="107" t="s">
        <v>158</v>
      </c>
      <c r="B83" s="87"/>
      <c r="C83" s="87"/>
      <c r="D83" s="87"/>
      <c r="E83" s="87"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/>
      <c r="M83" s="87"/>
      <c r="N83" s="402">
        <f t="shared" si="26"/>
        <v>0</v>
      </c>
    </row>
    <row r="84" spans="1:14">
      <c r="A84" s="107" t="s">
        <v>344</v>
      </c>
      <c r="B84" s="87"/>
      <c r="C84" s="87"/>
      <c r="D84" s="87"/>
      <c r="E84" s="87">
        <v>0</v>
      </c>
      <c r="F84" s="87">
        <v>0</v>
      </c>
      <c r="G84" s="87">
        <v>0</v>
      </c>
      <c r="H84" s="87">
        <v>0</v>
      </c>
      <c r="I84" s="87">
        <v>0</v>
      </c>
      <c r="J84" s="87">
        <v>0</v>
      </c>
      <c r="K84" s="87">
        <v>0</v>
      </c>
      <c r="L84" s="87"/>
      <c r="M84" s="87"/>
      <c r="N84" s="402">
        <f t="shared" si="26"/>
        <v>0</v>
      </c>
    </row>
    <row r="85" spans="1:14">
      <c r="A85" s="107" t="s">
        <v>345</v>
      </c>
      <c r="B85" s="87"/>
      <c r="C85" s="87"/>
      <c r="D85" s="87"/>
      <c r="E85" s="87">
        <v>0</v>
      </c>
      <c r="F85" s="87">
        <v>0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/>
      <c r="M85" s="87"/>
      <c r="N85" s="402">
        <f t="shared" si="26"/>
        <v>0</v>
      </c>
    </row>
    <row r="86" spans="1:14">
      <c r="A86" s="107" t="s">
        <v>293</v>
      </c>
      <c r="B86" s="87"/>
      <c r="C86" s="87"/>
      <c r="D86" s="87"/>
      <c r="E86" s="87">
        <v>0</v>
      </c>
      <c r="F86" s="87">
        <v>0</v>
      </c>
      <c r="G86" s="87">
        <v>0</v>
      </c>
      <c r="H86" s="87">
        <v>0</v>
      </c>
      <c r="I86" s="87">
        <v>0</v>
      </c>
      <c r="J86" s="87">
        <v>0</v>
      </c>
      <c r="K86" s="87">
        <v>0</v>
      </c>
      <c r="L86" s="87"/>
      <c r="M86" s="87"/>
      <c r="N86" s="402">
        <f t="shared" si="26"/>
        <v>0</v>
      </c>
    </row>
    <row r="87" spans="1:14">
      <c r="A87" s="107" t="s">
        <v>436</v>
      </c>
      <c r="B87" s="87"/>
      <c r="C87" s="87"/>
      <c r="D87" s="87"/>
      <c r="E87" s="87">
        <v>1376702</v>
      </c>
      <c r="F87" s="87">
        <v>537465</v>
      </c>
      <c r="G87" s="87">
        <v>499122</v>
      </c>
      <c r="H87" s="87">
        <v>472718</v>
      </c>
      <c r="I87" s="87">
        <v>487760</v>
      </c>
      <c r="J87" s="87">
        <v>486479</v>
      </c>
      <c r="K87" s="87">
        <v>471186</v>
      </c>
      <c r="L87" s="87">
        <v>465884</v>
      </c>
      <c r="M87" s="87">
        <v>461193</v>
      </c>
      <c r="N87" s="402">
        <f t="shared" si="26"/>
        <v>5258509</v>
      </c>
    </row>
    <row r="88" spans="1:14">
      <c r="A88" s="107" t="s">
        <v>395</v>
      </c>
      <c r="B88" s="87"/>
      <c r="C88" s="87"/>
      <c r="D88" s="87"/>
      <c r="E88" s="87">
        <v>0</v>
      </c>
      <c r="F88" s="87">
        <v>0</v>
      </c>
      <c r="G88" s="87">
        <v>0</v>
      </c>
      <c r="H88" s="87">
        <v>0</v>
      </c>
      <c r="I88" s="87"/>
      <c r="J88" s="87"/>
      <c r="K88" s="87"/>
      <c r="L88" s="87"/>
      <c r="M88" s="87"/>
      <c r="N88" s="402">
        <f t="shared" si="26"/>
        <v>0</v>
      </c>
    </row>
    <row r="89" spans="1:14">
      <c r="A89" s="107" t="s">
        <v>415</v>
      </c>
      <c r="B89" s="87"/>
      <c r="C89" s="87"/>
      <c r="D89" s="87"/>
      <c r="E89" s="87">
        <v>0</v>
      </c>
      <c r="F89" s="87">
        <v>0</v>
      </c>
      <c r="G89" s="87">
        <v>0</v>
      </c>
      <c r="H89" s="87">
        <v>0</v>
      </c>
      <c r="I89" s="87"/>
      <c r="J89" s="87"/>
      <c r="K89" s="87"/>
      <c r="L89" s="87"/>
      <c r="M89" s="87"/>
      <c r="N89" s="402">
        <f t="shared" si="26"/>
        <v>0</v>
      </c>
    </row>
    <row r="90" spans="1:14">
      <c r="A90" s="107" t="s">
        <v>414</v>
      </c>
      <c r="B90" s="87"/>
      <c r="C90" s="87"/>
      <c r="D90" s="87"/>
      <c r="E90" s="87">
        <v>0</v>
      </c>
      <c r="F90" s="87">
        <v>0</v>
      </c>
      <c r="G90" s="87">
        <v>0</v>
      </c>
      <c r="H90" s="87">
        <v>0</v>
      </c>
      <c r="I90" s="87"/>
      <c r="J90" s="87"/>
      <c r="K90" s="87"/>
      <c r="L90" s="87"/>
      <c r="M90" s="87"/>
      <c r="N90" s="402">
        <f t="shared" si="26"/>
        <v>0</v>
      </c>
    </row>
    <row r="91" spans="1:14">
      <c r="A91" s="107" t="s">
        <v>435</v>
      </c>
      <c r="B91" s="87"/>
      <c r="C91" s="87"/>
      <c r="D91" s="87"/>
      <c r="E91" s="87">
        <v>0</v>
      </c>
      <c r="F91" s="87">
        <v>0</v>
      </c>
      <c r="G91" s="87">
        <v>0</v>
      </c>
      <c r="H91" s="87">
        <v>0</v>
      </c>
      <c r="I91" s="87"/>
      <c r="J91" s="87"/>
      <c r="K91" s="87"/>
      <c r="L91" s="87"/>
      <c r="M91" s="87"/>
      <c r="N91" s="402">
        <f t="shared" si="26"/>
        <v>0</v>
      </c>
    </row>
    <row r="92" spans="1:14">
      <c r="A92" s="107" t="s">
        <v>296</v>
      </c>
      <c r="B92" s="87">
        <v>0</v>
      </c>
      <c r="C92" s="87">
        <v>287932.84000000003</v>
      </c>
      <c r="D92" s="87">
        <v>0</v>
      </c>
      <c r="E92" s="87">
        <v>0</v>
      </c>
      <c r="F92" s="87">
        <v>0</v>
      </c>
      <c r="G92" s="87">
        <v>0</v>
      </c>
      <c r="H92" s="87">
        <v>0</v>
      </c>
      <c r="I92" s="87"/>
      <c r="J92" s="87">
        <v>201472.73</v>
      </c>
      <c r="K92" s="87">
        <v>0</v>
      </c>
      <c r="L92" s="87"/>
      <c r="M92" s="87"/>
      <c r="N92" s="402">
        <f t="shared" si="26"/>
        <v>489405.57000000007</v>
      </c>
    </row>
    <row r="93" spans="1:14">
      <c r="A93" s="107" t="s">
        <v>396</v>
      </c>
      <c r="B93" s="87"/>
      <c r="C93" s="87"/>
      <c r="D93" s="87"/>
      <c r="E93" s="87">
        <v>0</v>
      </c>
      <c r="F93" s="87">
        <v>0</v>
      </c>
      <c r="G93" s="87">
        <v>0</v>
      </c>
      <c r="H93" s="87">
        <v>0</v>
      </c>
      <c r="I93" s="87"/>
      <c r="J93" s="87"/>
      <c r="K93" s="87"/>
      <c r="L93" s="87"/>
      <c r="M93" s="87"/>
      <c r="N93" s="402">
        <f t="shared" si="26"/>
        <v>0</v>
      </c>
    </row>
    <row r="94" spans="1:14">
      <c r="A94" s="107" t="s">
        <v>437</v>
      </c>
      <c r="B94" s="87"/>
      <c r="C94" s="87"/>
      <c r="D94" s="87"/>
      <c r="E94" s="87">
        <v>0</v>
      </c>
      <c r="F94" s="87">
        <v>0</v>
      </c>
      <c r="G94" s="87">
        <v>0</v>
      </c>
      <c r="H94" s="87">
        <v>0</v>
      </c>
      <c r="I94" s="87"/>
      <c r="J94" s="87"/>
      <c r="K94" s="87"/>
      <c r="L94" s="87"/>
      <c r="M94" s="87"/>
      <c r="N94" s="402">
        <f t="shared" si="26"/>
        <v>0</v>
      </c>
    </row>
    <row r="95" spans="1:14">
      <c r="A95" s="107" t="s">
        <v>448</v>
      </c>
      <c r="B95" s="87"/>
      <c r="C95" s="87"/>
      <c r="D95" s="87"/>
      <c r="E95" s="87">
        <v>0</v>
      </c>
      <c r="F95" s="87">
        <v>0</v>
      </c>
      <c r="G95" s="87">
        <v>0</v>
      </c>
      <c r="H95" s="87">
        <v>0</v>
      </c>
      <c r="I95" s="87"/>
      <c r="J95" s="87"/>
      <c r="K95" s="87"/>
      <c r="L95" s="87"/>
      <c r="M95" s="87"/>
      <c r="N95" s="402">
        <f t="shared" si="26"/>
        <v>0</v>
      </c>
    </row>
    <row r="96" spans="1:14">
      <c r="A96" s="107" t="s">
        <v>449</v>
      </c>
      <c r="B96" s="87">
        <v>63750</v>
      </c>
      <c r="C96" s="87">
        <v>0</v>
      </c>
      <c r="D96" s="87">
        <v>0</v>
      </c>
      <c r="E96" s="87">
        <v>4000000</v>
      </c>
      <c r="F96" s="87">
        <v>1200000</v>
      </c>
      <c r="G96" s="87">
        <v>0</v>
      </c>
      <c r="H96" s="87">
        <v>0</v>
      </c>
      <c r="I96" s="87">
        <v>3000000</v>
      </c>
      <c r="J96" s="87"/>
      <c r="K96" s="87"/>
      <c r="L96" s="87">
        <v>3900000</v>
      </c>
      <c r="M96" s="87"/>
      <c r="N96" s="402">
        <f t="shared" si="26"/>
        <v>12163750</v>
      </c>
    </row>
    <row r="97" spans="1:14">
      <c r="A97" s="107" t="s">
        <v>543</v>
      </c>
      <c r="B97" s="87"/>
      <c r="C97" s="87"/>
      <c r="D97" s="87"/>
      <c r="E97" s="87">
        <v>0</v>
      </c>
      <c r="F97" s="87">
        <v>0</v>
      </c>
      <c r="G97" s="87">
        <v>0</v>
      </c>
      <c r="H97" s="87">
        <v>0</v>
      </c>
      <c r="I97" s="87"/>
      <c r="J97" s="87">
        <v>900000</v>
      </c>
      <c r="K97" s="87"/>
      <c r="L97" s="87"/>
      <c r="M97" s="87"/>
      <c r="N97" s="402">
        <f t="shared" si="26"/>
        <v>900000</v>
      </c>
    </row>
    <row r="98" spans="1:14">
      <c r="A98" s="107" t="s">
        <v>450</v>
      </c>
      <c r="B98" s="87"/>
      <c r="C98" s="87"/>
      <c r="D98" s="87"/>
      <c r="E98" s="87">
        <v>0</v>
      </c>
      <c r="F98" s="87">
        <v>0</v>
      </c>
      <c r="G98" s="87">
        <v>0</v>
      </c>
      <c r="H98" s="87">
        <v>0</v>
      </c>
      <c r="I98" s="87"/>
      <c r="J98" s="87"/>
      <c r="K98" s="87"/>
      <c r="L98" s="87"/>
      <c r="M98" s="87"/>
      <c r="N98" s="402">
        <f t="shared" si="26"/>
        <v>0</v>
      </c>
    </row>
    <row r="99" spans="1:14">
      <c r="A99" s="107" t="s">
        <v>458</v>
      </c>
      <c r="B99" s="87"/>
      <c r="C99" s="87"/>
      <c r="D99" s="87"/>
      <c r="E99" s="87">
        <v>0</v>
      </c>
      <c r="F99" s="87">
        <v>0</v>
      </c>
      <c r="G99" s="87">
        <v>0</v>
      </c>
      <c r="H99" s="87">
        <v>0</v>
      </c>
      <c r="I99" s="87"/>
      <c r="J99" s="87"/>
      <c r="K99" s="87"/>
      <c r="L99" s="87"/>
      <c r="M99" s="87"/>
      <c r="N99" s="402">
        <f t="shared" si="26"/>
        <v>0</v>
      </c>
    </row>
    <row r="100" spans="1:14">
      <c r="A100" s="107" t="s">
        <v>456</v>
      </c>
      <c r="B100" s="87"/>
      <c r="C100" s="87"/>
      <c r="D100" s="87"/>
      <c r="E100" s="87">
        <v>0</v>
      </c>
      <c r="F100" s="87">
        <v>0</v>
      </c>
      <c r="G100" s="87">
        <v>1092527.46</v>
      </c>
      <c r="H100" s="87">
        <v>29486</v>
      </c>
      <c r="I100" s="87">
        <v>439775.8</v>
      </c>
      <c r="J100" s="87">
        <v>365726.5</v>
      </c>
      <c r="K100" s="87">
        <v>486558.1</v>
      </c>
      <c r="L100" s="87">
        <v>3000000</v>
      </c>
      <c r="M100" s="87">
        <v>540</v>
      </c>
      <c r="N100" s="402">
        <f t="shared" si="26"/>
        <v>5414613.8599999994</v>
      </c>
    </row>
    <row r="101" spans="1:14">
      <c r="A101" s="107" t="s">
        <v>474</v>
      </c>
      <c r="B101" s="87"/>
      <c r="C101" s="87"/>
      <c r="D101" s="87"/>
      <c r="E101" s="87">
        <v>0</v>
      </c>
      <c r="F101" s="87">
        <v>0</v>
      </c>
      <c r="G101" s="87">
        <v>0</v>
      </c>
      <c r="H101" s="87">
        <v>0</v>
      </c>
      <c r="I101" s="87">
        <v>13500000</v>
      </c>
      <c r="J101" s="87"/>
      <c r="K101" s="87"/>
      <c r="L101" s="87"/>
      <c r="M101" s="87"/>
      <c r="N101" s="402">
        <f t="shared" si="26"/>
        <v>13500000</v>
      </c>
    </row>
    <row r="102" spans="1:14">
      <c r="A102" s="413" t="s">
        <v>1170</v>
      </c>
      <c r="B102" s="87"/>
      <c r="C102" s="87"/>
      <c r="D102" s="87"/>
      <c r="E102" s="87">
        <v>0</v>
      </c>
      <c r="F102" s="87">
        <v>0</v>
      </c>
      <c r="G102" s="87">
        <v>0</v>
      </c>
      <c r="H102" s="87">
        <v>0</v>
      </c>
      <c r="I102" s="87"/>
      <c r="J102" s="87"/>
      <c r="K102" s="87"/>
      <c r="L102" s="87"/>
      <c r="M102" s="87"/>
      <c r="N102" s="402">
        <f t="shared" si="26"/>
        <v>0</v>
      </c>
    </row>
    <row r="103" spans="1:14">
      <c r="A103" s="107" t="s">
        <v>548</v>
      </c>
      <c r="B103" s="87"/>
      <c r="C103" s="87"/>
      <c r="D103" s="87"/>
      <c r="E103" s="87">
        <v>0</v>
      </c>
      <c r="F103" s="87">
        <v>0</v>
      </c>
      <c r="G103" s="87">
        <v>0</v>
      </c>
      <c r="H103" s="87">
        <v>0</v>
      </c>
      <c r="I103" s="87"/>
      <c r="J103" s="87"/>
      <c r="K103" s="87"/>
      <c r="L103" s="87"/>
      <c r="M103" s="87"/>
      <c r="N103" s="402">
        <f t="shared" si="26"/>
        <v>0</v>
      </c>
    </row>
    <row r="104" spans="1:14">
      <c r="A104" s="413" t="s">
        <v>1163</v>
      </c>
      <c r="B104" s="87"/>
      <c r="C104" s="87"/>
      <c r="D104" s="87"/>
      <c r="E104" s="87"/>
      <c r="F104" s="87"/>
      <c r="G104" s="87"/>
      <c r="H104" s="87"/>
      <c r="I104" s="87">
        <v>20628635.469999999</v>
      </c>
      <c r="J104" s="87"/>
      <c r="K104" s="87">
        <v>7648362.46</v>
      </c>
      <c r="L104" s="87">
        <v>8891750.1999999993</v>
      </c>
      <c r="M104" s="87">
        <v>14500149.09</v>
      </c>
      <c r="N104" s="402">
        <f t="shared" si="26"/>
        <v>51668897.219999999</v>
      </c>
    </row>
    <row r="105" spans="1:14">
      <c r="A105" s="107" t="s">
        <v>534</v>
      </c>
      <c r="B105" s="87">
        <v>201918</v>
      </c>
      <c r="C105" s="87">
        <v>0</v>
      </c>
      <c r="D105" s="87">
        <v>0</v>
      </c>
      <c r="E105" s="87">
        <v>0</v>
      </c>
      <c r="F105" s="87">
        <v>12852</v>
      </c>
      <c r="G105" s="87">
        <v>0</v>
      </c>
      <c r="H105" s="87">
        <v>0</v>
      </c>
      <c r="I105" s="87"/>
      <c r="J105" s="87"/>
      <c r="K105" s="87"/>
      <c r="L105" s="87"/>
      <c r="M105" s="87"/>
      <c r="N105" s="402">
        <f t="shared" si="26"/>
        <v>214770</v>
      </c>
    </row>
    <row r="106" spans="1:14">
      <c r="A106" s="107" t="s">
        <v>603</v>
      </c>
      <c r="B106" s="87"/>
      <c r="C106" s="87"/>
      <c r="D106" s="87"/>
      <c r="E106" s="87">
        <v>0</v>
      </c>
      <c r="F106" s="87">
        <v>0</v>
      </c>
      <c r="G106" s="87">
        <v>22650</v>
      </c>
      <c r="H106" s="87">
        <v>0</v>
      </c>
      <c r="I106" s="87">
        <v>22650</v>
      </c>
      <c r="J106" s="87">
        <v>698658</v>
      </c>
      <c r="K106" s="87">
        <v>996539</v>
      </c>
      <c r="L106" s="87">
        <v>551661</v>
      </c>
      <c r="M106" s="87">
        <v>248649.32</v>
      </c>
      <c r="N106" s="402">
        <f t="shared" si="26"/>
        <v>2540807.3199999998</v>
      </c>
    </row>
    <row r="107" spans="1:14">
      <c r="A107" s="107" t="s">
        <v>599</v>
      </c>
      <c r="B107" s="87"/>
      <c r="C107" s="87"/>
      <c r="D107" s="87"/>
      <c r="E107" s="87">
        <v>0</v>
      </c>
      <c r="F107" s="87">
        <v>0</v>
      </c>
      <c r="G107" s="87">
        <v>0</v>
      </c>
      <c r="H107" s="87">
        <v>0</v>
      </c>
      <c r="I107" s="87"/>
      <c r="J107" s="87"/>
      <c r="K107" s="87"/>
      <c r="L107" s="87"/>
      <c r="M107" s="87"/>
      <c r="N107" s="402">
        <f t="shared" si="26"/>
        <v>0</v>
      </c>
    </row>
    <row r="108" spans="1:14">
      <c r="A108" s="107" t="s">
        <v>600</v>
      </c>
      <c r="B108" s="87">
        <v>0</v>
      </c>
      <c r="C108" s="87">
        <v>300000</v>
      </c>
      <c r="D108" s="87">
        <v>0</v>
      </c>
      <c r="E108" s="87">
        <v>0</v>
      </c>
      <c r="F108" s="87">
        <v>0</v>
      </c>
      <c r="G108" s="87">
        <v>0</v>
      </c>
      <c r="H108" s="87">
        <v>0</v>
      </c>
      <c r="I108" s="87"/>
      <c r="J108" s="87"/>
      <c r="K108" s="87"/>
      <c r="L108" s="87"/>
      <c r="M108" s="87"/>
      <c r="N108" s="402">
        <f t="shared" si="26"/>
        <v>300000</v>
      </c>
    </row>
    <row r="109" spans="1:14">
      <c r="A109" s="107" t="s">
        <v>1173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>
        <v>300000</v>
      </c>
      <c r="L109" s="87"/>
      <c r="M109" s="87"/>
      <c r="N109" s="402">
        <f t="shared" si="26"/>
        <v>300000</v>
      </c>
    </row>
    <row r="110" spans="1:14">
      <c r="A110" s="107" t="s">
        <v>612</v>
      </c>
      <c r="B110" s="87"/>
      <c r="C110" s="87"/>
      <c r="D110" s="87"/>
      <c r="E110" s="87">
        <v>0</v>
      </c>
      <c r="F110" s="87">
        <v>0</v>
      </c>
      <c r="G110" s="87">
        <v>0</v>
      </c>
      <c r="H110" s="87">
        <v>6800000</v>
      </c>
      <c r="I110" s="87">
        <v>8200000</v>
      </c>
      <c r="J110" s="87"/>
      <c r="K110" s="87">
        <v>5000000</v>
      </c>
      <c r="L110" s="87">
        <v>0</v>
      </c>
      <c r="M110" s="87"/>
      <c r="N110" s="402">
        <f t="shared" si="26"/>
        <v>20000000</v>
      </c>
    </row>
    <row r="111" spans="1:14">
      <c r="A111" s="107" t="s">
        <v>610</v>
      </c>
      <c r="B111" s="87"/>
      <c r="C111" s="87"/>
      <c r="D111" s="87"/>
      <c r="E111" s="87">
        <v>2400000</v>
      </c>
      <c r="F111" s="87">
        <v>0</v>
      </c>
      <c r="G111" s="87">
        <v>0</v>
      </c>
      <c r="H111" s="87">
        <v>1600000</v>
      </c>
      <c r="I111" s="87">
        <v>800000</v>
      </c>
      <c r="J111" s="87">
        <v>800000</v>
      </c>
      <c r="K111" s="87">
        <v>800000</v>
      </c>
      <c r="L111" s="87">
        <v>800000</v>
      </c>
      <c r="M111" s="87">
        <v>800000</v>
      </c>
      <c r="N111" s="402">
        <f t="shared" si="26"/>
        <v>8000000</v>
      </c>
    </row>
    <row r="112" spans="1:14">
      <c r="A112" s="406" t="s">
        <v>25</v>
      </c>
      <c r="B112" s="394">
        <v>0</v>
      </c>
      <c r="C112" s="394">
        <v>0</v>
      </c>
      <c r="D112" s="394">
        <v>0</v>
      </c>
      <c r="E112" s="394">
        <v>0</v>
      </c>
      <c r="F112" s="394">
        <v>0</v>
      </c>
      <c r="G112" s="394">
        <v>0</v>
      </c>
      <c r="H112" s="394">
        <v>0</v>
      </c>
      <c r="I112" s="394">
        <v>0</v>
      </c>
      <c r="J112" s="394">
        <v>0</v>
      </c>
      <c r="K112" s="394">
        <v>0</v>
      </c>
      <c r="L112" s="394">
        <v>0</v>
      </c>
      <c r="M112" s="394">
        <v>0</v>
      </c>
      <c r="N112" s="403">
        <f>SUM(B112:M112)</f>
        <v>0</v>
      </c>
    </row>
    <row r="113" spans="1:14">
      <c r="A113" s="10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402"/>
    </row>
    <row r="114" spans="1:14">
      <c r="A114" s="406" t="s">
        <v>23</v>
      </c>
      <c r="B114" s="394">
        <f>SUM(B115:B119)</f>
        <v>11000000</v>
      </c>
      <c r="C114" s="394">
        <f t="shared" ref="C114:M114" si="27">SUM(C115:C119)</f>
        <v>13500000</v>
      </c>
      <c r="D114" s="394">
        <f t="shared" si="27"/>
        <v>35000000</v>
      </c>
      <c r="E114" s="394">
        <f t="shared" si="27"/>
        <v>10500000</v>
      </c>
      <c r="F114" s="394">
        <f t="shared" si="27"/>
        <v>24000000</v>
      </c>
      <c r="G114" s="394">
        <f t="shared" si="27"/>
        <v>31000000</v>
      </c>
      <c r="H114" s="394">
        <f t="shared" si="27"/>
        <v>13000000</v>
      </c>
      <c r="I114" s="394">
        <f t="shared" si="27"/>
        <v>8000000</v>
      </c>
      <c r="J114" s="394">
        <f t="shared" ref="J114" si="28">SUM(J115:J119)</f>
        <v>28500000</v>
      </c>
      <c r="K114" s="394">
        <f t="shared" si="27"/>
        <v>22500000</v>
      </c>
      <c r="L114" s="394">
        <f t="shared" si="27"/>
        <v>0</v>
      </c>
      <c r="M114" s="394">
        <f t="shared" si="27"/>
        <v>39600000</v>
      </c>
      <c r="N114" s="403">
        <f>SUM(N115:N119)</f>
        <v>236600000</v>
      </c>
    </row>
    <row r="115" spans="1:14">
      <c r="A115" s="107" t="s">
        <v>161</v>
      </c>
      <c r="B115" s="87">
        <v>11000000</v>
      </c>
      <c r="C115" s="87">
        <v>13500000</v>
      </c>
      <c r="D115" s="87">
        <v>35000000</v>
      </c>
      <c r="E115" s="87">
        <v>10500000</v>
      </c>
      <c r="F115" s="87">
        <v>24000000</v>
      </c>
      <c r="G115" s="87">
        <v>31000000</v>
      </c>
      <c r="H115" s="87">
        <v>13000000</v>
      </c>
      <c r="I115" s="87">
        <v>8000000</v>
      </c>
      <c r="J115" s="87">
        <v>28500000</v>
      </c>
      <c r="K115" s="87">
        <v>22500000</v>
      </c>
      <c r="L115" s="87"/>
      <c r="M115" s="87">
        <v>39600000</v>
      </c>
      <c r="N115" s="402">
        <f>SUM(B115:M115)</f>
        <v>236600000</v>
      </c>
    </row>
    <row r="116" spans="1:14">
      <c r="A116" s="107" t="s">
        <v>162</v>
      </c>
      <c r="B116" s="87"/>
      <c r="C116" s="87"/>
      <c r="D116" s="87"/>
      <c r="E116" s="87">
        <v>0</v>
      </c>
      <c r="F116" s="87">
        <v>0</v>
      </c>
      <c r="G116" s="87">
        <v>0</v>
      </c>
      <c r="H116" s="87"/>
      <c r="I116" s="87"/>
      <c r="J116" s="87"/>
      <c r="K116" s="87"/>
      <c r="L116" s="87"/>
      <c r="M116" s="87"/>
      <c r="N116" s="402">
        <f>SUM(B116:M116)</f>
        <v>0</v>
      </c>
    </row>
    <row r="117" spans="1:14">
      <c r="A117" s="107" t="s">
        <v>163</v>
      </c>
      <c r="B117" s="87"/>
      <c r="C117" s="87"/>
      <c r="D117" s="87"/>
      <c r="E117" s="87">
        <v>0</v>
      </c>
      <c r="F117" s="87">
        <v>0</v>
      </c>
      <c r="G117" s="87">
        <v>0</v>
      </c>
      <c r="H117" s="87"/>
      <c r="I117" s="87"/>
      <c r="J117" s="87"/>
      <c r="K117" s="87"/>
      <c r="L117" s="87"/>
      <c r="M117" s="87"/>
      <c r="N117" s="402">
        <f>SUM(B117:M117)</f>
        <v>0</v>
      </c>
    </row>
    <row r="118" spans="1:14">
      <c r="A118" s="107" t="s">
        <v>346</v>
      </c>
      <c r="B118" s="87"/>
      <c r="C118" s="87"/>
      <c r="D118" s="87"/>
      <c r="E118" s="87">
        <v>0</v>
      </c>
      <c r="F118" s="87">
        <v>0</v>
      </c>
      <c r="G118" s="87">
        <v>0</v>
      </c>
      <c r="H118" s="87"/>
      <c r="I118" s="87"/>
      <c r="J118" s="87"/>
      <c r="K118" s="87"/>
      <c r="L118" s="87"/>
      <c r="M118" s="87"/>
      <c r="N118" s="402">
        <f>SUM(B118:M118)</f>
        <v>0</v>
      </c>
    </row>
    <row r="119" spans="1:14">
      <c r="A119" s="107" t="s">
        <v>398</v>
      </c>
      <c r="B119" s="87"/>
      <c r="C119" s="87"/>
      <c r="D119" s="87"/>
      <c r="E119" s="87">
        <v>0</v>
      </c>
      <c r="F119" s="87">
        <v>0</v>
      </c>
      <c r="G119" s="87">
        <v>0</v>
      </c>
      <c r="H119" s="87"/>
      <c r="I119" s="87"/>
      <c r="J119" s="87"/>
      <c r="K119" s="87"/>
      <c r="L119" s="87"/>
      <c r="M119" s="87"/>
      <c r="N119" s="402">
        <f>SUM(B119:M119)</f>
        <v>0</v>
      </c>
    </row>
    <row r="120" spans="1:14">
      <c r="A120" s="107"/>
      <c r="B120" s="87"/>
      <c r="C120" s="87"/>
      <c r="D120" s="87"/>
      <c r="E120" s="87">
        <v>0</v>
      </c>
      <c r="F120" s="87">
        <v>0</v>
      </c>
      <c r="G120" s="87">
        <v>0</v>
      </c>
      <c r="H120" s="87"/>
      <c r="I120" s="87"/>
      <c r="J120" s="87"/>
      <c r="K120" s="87"/>
      <c r="L120" s="87"/>
      <c r="M120" s="87"/>
      <c r="N120" s="402"/>
    </row>
    <row r="121" spans="1:14">
      <c r="A121" s="406" t="s">
        <v>26</v>
      </c>
      <c r="B121" s="394">
        <v>21457676.989999998</v>
      </c>
      <c r="C121" s="394">
        <v>3323395.91</v>
      </c>
      <c r="D121" s="394">
        <v>351244.24</v>
      </c>
      <c r="E121" s="394">
        <v>686981.66</v>
      </c>
      <c r="F121" s="394">
        <v>313190.75</v>
      </c>
      <c r="G121" s="394">
        <v>164038</v>
      </c>
      <c r="H121" s="394">
        <v>246307.71</v>
      </c>
      <c r="I121" s="394">
        <v>399611</v>
      </c>
      <c r="J121" s="394">
        <v>29276.93</v>
      </c>
      <c r="K121" s="394">
        <v>189622.23</v>
      </c>
      <c r="L121" s="394">
        <v>89701</v>
      </c>
      <c r="M121" s="394">
        <v>17062673.07</v>
      </c>
      <c r="N121" s="403">
        <f>SUM(B121:M121)</f>
        <v>44313719.489999995</v>
      </c>
    </row>
    <row r="122" spans="1:14">
      <c r="A122" s="109"/>
      <c r="B122" s="395"/>
      <c r="C122" s="395"/>
      <c r="D122" s="395"/>
      <c r="E122" s="395"/>
      <c r="F122" s="395"/>
      <c r="G122" s="395"/>
      <c r="H122" s="395"/>
      <c r="I122" s="395"/>
      <c r="J122" s="395"/>
      <c r="K122" s="395"/>
      <c r="L122" s="395"/>
      <c r="M122" s="395"/>
      <c r="N122" s="407"/>
    </row>
    <row r="123" spans="1:14">
      <c r="A123" s="103"/>
      <c r="B123" s="277"/>
      <c r="C123" s="277"/>
      <c r="D123" s="277"/>
      <c r="E123" s="277"/>
      <c r="F123" s="277"/>
      <c r="G123" s="277"/>
      <c r="H123" s="277"/>
      <c r="I123" s="277"/>
      <c r="J123" s="277"/>
      <c r="K123" s="277"/>
      <c r="L123" s="277"/>
      <c r="M123" s="277"/>
      <c r="N123" s="416"/>
    </row>
    <row r="124" spans="1:14" s="391" customFormat="1" ht="24.75" customHeight="1" thickBot="1">
      <c r="A124" s="424" t="s">
        <v>38</v>
      </c>
      <c r="B124" s="429">
        <f>SUM(B121+B114+B112+B81+B79+B72+B65+B55+B46+B33+B28+B14+B6)</f>
        <v>128191929.06</v>
      </c>
      <c r="C124" s="429">
        <f>SUM(C121+C114+C112+C81+C79+C72+C65+C55+C46+C33+C28+C14+C6)</f>
        <v>125738721.58000001</v>
      </c>
      <c r="D124" s="429">
        <f>SUM(D121+D114+D112+D81+D79+D72+D65+D55+D46+D33+D28+D14+D6)</f>
        <v>109544690.34</v>
      </c>
      <c r="E124" s="429">
        <f>SUM(E121+E114+E112+E81+E79+E72+E65+E55+E46+E33+E28+E14+E6)</f>
        <v>92712275.480000019</v>
      </c>
      <c r="F124" s="429">
        <f>SUM(F121+F114+F112+F81+F79+F72+F65+F55+F46+F33+F28+F14+F6)</f>
        <v>94853724.689999998</v>
      </c>
      <c r="G124" s="429">
        <f>SUM(G121+G114+G112+G81+G79+G72+G65+G55+G46+G33+G28+G14+G6)</f>
        <v>104313228.16999999</v>
      </c>
      <c r="H124" s="429">
        <f>SUM(H121+H114+H112+H81+H79+H72+H65+H55+H46+H33+H28+H14+H6)</f>
        <v>96495069.739999995</v>
      </c>
      <c r="I124" s="429">
        <f>SUM(I121+I114+I112+I81+I79+I72+I65+I55+I46+I33+I28+I14+I6)</f>
        <v>128193688.34999999</v>
      </c>
      <c r="J124" s="429">
        <f>SUM(J121+J114+J112+J81+J79+J72+J65+J55+J46+J33+J28+J14+J6)</f>
        <v>102328046.61</v>
      </c>
      <c r="K124" s="429">
        <f>SUM(K121+K114+K112+K81+K79+K72+K65+K55+K46+K33+K28+K14+K6)</f>
        <v>110732978.63</v>
      </c>
      <c r="L124" s="429">
        <f>SUM(L121+L114+L112+L81+L79+L72+L65+L55+L46+L33+L28+L14+L6)</f>
        <v>82142348.289999992</v>
      </c>
      <c r="M124" s="429">
        <f>SUM(M121+M114+M112+M81+M79+M72+M65+M55+M46+M33+M28+M14+M6)</f>
        <v>203814750.30000001</v>
      </c>
      <c r="N124" s="430">
        <f>SUM(N121+N114+N112+N81+N79+N72+N65+N55+N46+N33+N28+N14+N6)</f>
        <v>1379061451.24</v>
      </c>
    </row>
    <row r="125" spans="1:14">
      <c r="B125" s="398"/>
      <c r="C125" s="398"/>
      <c r="D125" s="398"/>
      <c r="E125" s="398"/>
      <c r="F125" s="398"/>
      <c r="G125" s="398"/>
    </row>
    <row r="126" spans="1:14">
      <c r="B126" s="398"/>
      <c r="C126" s="398"/>
      <c r="D126" s="398"/>
      <c r="E126" s="398"/>
      <c r="F126" s="398"/>
      <c r="G126" s="398"/>
      <c r="I126" s="30"/>
    </row>
    <row r="127" spans="1:14">
      <c r="B127" s="398"/>
      <c r="C127" s="398"/>
      <c r="D127" s="398"/>
      <c r="E127" s="398"/>
      <c r="F127" s="398"/>
      <c r="G127" s="398"/>
      <c r="I127" s="30"/>
      <c r="M127" s="30"/>
      <c r="N127" s="30"/>
    </row>
    <row r="128" spans="1:14">
      <c r="B128" s="398"/>
      <c r="C128" s="398"/>
      <c r="D128" s="398"/>
      <c r="E128" s="398"/>
      <c r="F128" s="398"/>
      <c r="G128" s="398"/>
    </row>
  </sheetData>
  <mergeCells count="3">
    <mergeCell ref="A2:N2"/>
    <mergeCell ref="A3:N3"/>
    <mergeCell ref="A1:N1"/>
  </mergeCells>
  <phoneticPr fontId="1" type="noConversion"/>
  <printOptions horizontalCentered="1"/>
  <pageMargins left="0.15748031496062992" right="0.15748031496062992" top="0.23622047244094491" bottom="0.15748031496062992" header="0.23622047244094491" footer="0"/>
  <pageSetup paperSize="8" scale="81" firstPageNumber="7" orientation="landscape" useFirstPageNumber="1" r:id="rId1"/>
  <headerFooter alignWithMargins="0"/>
  <rowBreaks count="1" manualBreakCount="1">
    <brk id="64" max="1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selection activeCell="A27" sqref="A27:F27"/>
    </sheetView>
  </sheetViews>
  <sheetFormatPr baseColWidth="10" defaultRowHeight="12.75"/>
  <cols>
    <col min="1" max="1" width="46.28515625" customWidth="1"/>
    <col min="2" max="2" width="18.7109375" bestFit="1" customWidth="1"/>
    <col min="3" max="5" width="16.85546875" customWidth="1"/>
    <col min="6" max="6" width="33.28515625" customWidth="1"/>
  </cols>
  <sheetData>
    <row r="1" spans="1:6" ht="15.75">
      <c r="A1" s="336" t="s">
        <v>366</v>
      </c>
      <c r="B1" s="336"/>
      <c r="C1" s="336"/>
      <c r="D1" s="336"/>
      <c r="E1" s="336"/>
      <c r="F1" s="336"/>
    </row>
    <row r="2" spans="1:6">
      <c r="A2" s="335" t="s">
        <v>1131</v>
      </c>
      <c r="B2" s="335"/>
      <c r="C2" s="335"/>
      <c r="D2" s="335"/>
      <c r="E2" s="335"/>
      <c r="F2" s="335"/>
    </row>
    <row r="3" spans="1:6">
      <c r="A3" s="335" t="s">
        <v>332</v>
      </c>
      <c r="B3" s="335"/>
      <c r="C3" s="335"/>
      <c r="D3" s="335"/>
      <c r="E3" s="335"/>
      <c r="F3" s="335"/>
    </row>
    <row r="4" spans="1:6" ht="13.5" thickBot="1"/>
    <row r="5" spans="1:6" ht="13.5" thickBot="1">
      <c r="A5" s="441" t="s">
        <v>0</v>
      </c>
      <c r="B5" s="439" t="s">
        <v>210</v>
      </c>
      <c r="C5" s="440"/>
      <c r="D5" s="441" t="s">
        <v>40</v>
      </c>
      <c r="E5" s="441" t="s">
        <v>41</v>
      </c>
      <c r="F5" s="438" t="s">
        <v>238</v>
      </c>
    </row>
    <row r="6" spans="1:6" ht="13.5" thickBot="1">
      <c r="A6" s="554"/>
      <c r="B6" s="443">
        <v>2010</v>
      </c>
      <c r="C6" s="443">
        <v>2011</v>
      </c>
      <c r="D6" s="443">
        <v>2011</v>
      </c>
      <c r="E6" s="443"/>
      <c r="F6" s="443"/>
    </row>
    <row r="8" spans="1:6">
      <c r="A8" s="5" t="s">
        <v>101</v>
      </c>
      <c r="B8" s="8">
        <f>VLOOKUP($A8,'[1]Análisis Egresos'!$A$9:$H$27,7,0)</f>
        <v>323348345.12999994</v>
      </c>
      <c r="C8" s="8">
        <f>SUM('Egresos Reales'!N7)</f>
        <v>350519210.32000005</v>
      </c>
      <c r="D8" s="8">
        <f>SUM('Presupuesto Egresos'!N7)</f>
        <v>359450437.59000003</v>
      </c>
      <c r="E8" s="8">
        <f>SUM(D8-C8)</f>
        <v>8931227.2699999809</v>
      </c>
      <c r="F8" s="5"/>
    </row>
    <row r="9" spans="1:6">
      <c r="A9" s="6"/>
      <c r="B9" s="9"/>
      <c r="C9" s="9"/>
      <c r="D9" s="9"/>
      <c r="E9" s="9"/>
      <c r="F9" s="6"/>
    </row>
    <row r="10" spans="1:6">
      <c r="A10" s="6" t="s">
        <v>49</v>
      </c>
      <c r="B10" s="9">
        <f>VLOOKUP($A10,'[1]Análisis Egresos'!$A$9:$H$27,7,0)</f>
        <v>97502022.560000002</v>
      </c>
      <c r="C10" s="9">
        <f>SUM('Egresos Reales'!N12)</f>
        <v>109888309.5</v>
      </c>
      <c r="D10" s="9">
        <f>SUM('Presupuesto Egresos'!N12)</f>
        <v>110200963.11</v>
      </c>
      <c r="E10" s="9">
        <f>SUM(D10-C10)</f>
        <v>312653.6099999994</v>
      </c>
      <c r="F10" s="6"/>
    </row>
    <row r="11" spans="1:6">
      <c r="A11" s="6"/>
      <c r="B11" s="9"/>
      <c r="C11" s="9"/>
      <c r="D11" s="9"/>
      <c r="E11" s="9"/>
      <c r="F11" s="6"/>
    </row>
    <row r="12" spans="1:6">
      <c r="A12" s="6" t="s">
        <v>50</v>
      </c>
      <c r="B12" s="9">
        <f>VLOOKUP($A12,'[1]Análisis Egresos'!$A$9:$H$27,7,0)</f>
        <v>34621900</v>
      </c>
      <c r="C12" s="9">
        <f>SUM('Egresos Reales'!N20)</f>
        <v>48783612.039999992</v>
      </c>
      <c r="D12" s="9">
        <f>SUM('Presupuesto Egresos'!N20)</f>
        <v>49108433.390000001</v>
      </c>
      <c r="E12" s="9">
        <f>SUM(D12-C12)</f>
        <v>324821.35000000894</v>
      </c>
      <c r="F12" s="6"/>
    </row>
    <row r="13" spans="1:6">
      <c r="A13" s="6"/>
      <c r="B13" s="9"/>
      <c r="C13" s="9"/>
      <c r="D13" s="9"/>
      <c r="E13" s="9"/>
      <c r="F13" s="6"/>
    </row>
    <row r="14" spans="1:6">
      <c r="A14" s="6" t="s">
        <v>190</v>
      </c>
      <c r="B14" s="9">
        <f>VLOOKUP($A14,'[1]Análisis Egresos'!$A$9:$H$27,7,0)</f>
        <v>63211969.190000005</v>
      </c>
      <c r="C14" s="9">
        <f>SUM('Egresos Reales'!N29)</f>
        <v>72171249.839999989</v>
      </c>
      <c r="D14" s="9">
        <f>SUM('Presupuesto Egresos'!N29)</f>
        <v>74482936.960000008</v>
      </c>
      <c r="E14" s="9">
        <f>SUM(D14-C14)</f>
        <v>2311687.1200000197</v>
      </c>
      <c r="F14" s="6"/>
    </row>
    <row r="15" spans="1:6">
      <c r="A15" s="6"/>
      <c r="B15" s="9"/>
      <c r="C15" s="9"/>
      <c r="D15" s="9"/>
      <c r="E15" s="9"/>
      <c r="F15" s="6"/>
    </row>
    <row r="16" spans="1:6">
      <c r="A16" s="6" t="s">
        <v>51</v>
      </c>
      <c r="B16" s="9">
        <f>VLOOKUP($A16,'[1]Análisis Egresos'!$A$9:$H$27,7,0)</f>
        <v>6209192.9699999997</v>
      </c>
      <c r="C16" s="9">
        <f>SUM('Egresos Reales'!N38)</f>
        <v>8097388.1399999987</v>
      </c>
      <c r="D16" s="9">
        <f>SUM('Presupuesto Egresos'!N38)</f>
        <v>7700410.1699999999</v>
      </c>
      <c r="E16" s="9">
        <f>SUM(D16-C16)</f>
        <v>-396977.96999999881</v>
      </c>
      <c r="F16" s="6"/>
    </row>
    <row r="17" spans="1:6">
      <c r="A17" s="6"/>
      <c r="B17" s="9"/>
      <c r="C17" s="9"/>
      <c r="D17" s="9"/>
      <c r="E17" s="9"/>
      <c r="F17" s="6"/>
    </row>
    <row r="18" spans="1:6">
      <c r="A18" s="6" t="s">
        <v>122</v>
      </c>
      <c r="B18" s="9">
        <f>VLOOKUP($A18,'[1]Análisis Egresos'!$A$9:$H$27,7,0)</f>
        <v>140882516.69</v>
      </c>
      <c r="C18" s="9">
        <f>SUM('Egresos Reales'!N42)</f>
        <v>244059651.66000003</v>
      </c>
      <c r="D18" s="9">
        <f>SUM('Presupuesto Egresos'!N42)</f>
        <v>265940950.16000003</v>
      </c>
      <c r="E18" s="9">
        <f>SUM(D18-C18)</f>
        <v>21881298.5</v>
      </c>
      <c r="F18" s="6"/>
    </row>
    <row r="19" spans="1:6">
      <c r="A19" s="6"/>
      <c r="B19" s="9"/>
      <c r="C19" s="9"/>
      <c r="D19" s="9"/>
      <c r="E19" s="9"/>
      <c r="F19" s="6"/>
    </row>
    <row r="20" spans="1:6">
      <c r="A20" s="6" t="s">
        <v>1</v>
      </c>
      <c r="B20" s="9">
        <f>VLOOKUP($A20,'[1]Análisis Egresos'!$A$9:$H$27,7,0)</f>
        <v>20231916.600000001</v>
      </c>
      <c r="C20" s="9">
        <f>SUM('Egresos Reales'!N49)</f>
        <v>12523281.629999999</v>
      </c>
      <c r="D20" s="9">
        <f>SUM('Presupuesto Egresos'!N49)</f>
        <v>23652851.710000001</v>
      </c>
      <c r="E20" s="9">
        <f>SUM(D20-C20)</f>
        <v>11129570.080000002</v>
      </c>
      <c r="F20" s="6"/>
    </row>
    <row r="21" spans="1:6">
      <c r="A21" s="6"/>
      <c r="B21" s="9"/>
      <c r="C21" s="9"/>
      <c r="D21" s="9"/>
      <c r="E21" s="9"/>
      <c r="F21" s="6"/>
    </row>
    <row r="22" spans="1:6">
      <c r="A22" s="6" t="s">
        <v>2</v>
      </c>
      <c r="B22" s="9">
        <f>VLOOKUP($A22,'[1]Análisis Egresos'!$A$9:$H$27,7,0)</f>
        <v>168743740.13</v>
      </c>
      <c r="C22" s="9">
        <f>SUM('Egresos Reales'!N63)</f>
        <v>196260694.32999998</v>
      </c>
      <c r="D22" s="9">
        <f>SUM('Presupuesto Egresos'!N63)</f>
        <v>234318211.71000001</v>
      </c>
      <c r="E22" s="9">
        <f>SUM(D22-C22)</f>
        <v>38057517.380000025</v>
      </c>
      <c r="F22" s="6"/>
    </row>
    <row r="23" spans="1:6">
      <c r="A23" s="6"/>
      <c r="B23" s="9"/>
      <c r="C23" s="9"/>
      <c r="D23" s="9"/>
      <c r="E23" s="9"/>
      <c r="F23" s="6"/>
    </row>
    <row r="24" spans="1:6">
      <c r="A24" s="6" t="s">
        <v>302</v>
      </c>
      <c r="B24" s="9">
        <f>VLOOKUP($A24,'[1]Análisis Egresos'!$A$9:$H$27,7,0)</f>
        <v>23514383.620000001</v>
      </c>
      <c r="C24" s="9">
        <f>SUM('Egresos Reales'!N98)</f>
        <v>80261893.060000002</v>
      </c>
      <c r="D24" s="9">
        <f>SUM('Presupuesto Egresos'!N98)</f>
        <v>40593585.109999999</v>
      </c>
      <c r="E24" s="9">
        <f>SUM(D24-C24)</f>
        <v>-39668307.950000003</v>
      </c>
      <c r="F24" s="6"/>
    </row>
    <row r="25" spans="1:6">
      <c r="A25" s="6"/>
      <c r="B25" s="9"/>
      <c r="C25" s="9"/>
      <c r="D25" s="9"/>
      <c r="E25" s="9"/>
      <c r="F25" s="6"/>
    </row>
    <row r="26" spans="1:6" ht="13.5" thickBot="1">
      <c r="A26" s="6" t="s">
        <v>354</v>
      </c>
      <c r="B26" s="9">
        <f>VLOOKUP($A26,'[1]Análisis Egresos'!$A$9:$H$27,7,0)</f>
        <v>141858578.69999996</v>
      </c>
      <c r="C26" s="9">
        <f>SUM('Egresos Reales'!N104)</f>
        <v>219585163.64999998</v>
      </c>
      <c r="D26" s="9">
        <f>SUM('Presupuesto Egresos'!N104)</f>
        <v>274199203.54000002</v>
      </c>
      <c r="E26" s="9">
        <f>SUM(D26-C26)</f>
        <v>54614039.890000045</v>
      </c>
      <c r="F26" s="6"/>
    </row>
    <row r="27" spans="1:6" ht="24.75" customHeight="1" thickBot="1">
      <c r="A27" s="426" t="s">
        <v>4</v>
      </c>
      <c r="B27" s="427">
        <f>SUM(B8:B26)</f>
        <v>1020124565.5899999</v>
      </c>
      <c r="C27" s="427">
        <f>SUM(C8:C26)</f>
        <v>1342150454.1700001</v>
      </c>
      <c r="D27" s="427">
        <f>SUM(D8:D26)</f>
        <v>1439647983.45</v>
      </c>
      <c r="E27" s="427">
        <f>SUM(E8:E26)</f>
        <v>97497529.280000076</v>
      </c>
      <c r="F27" s="428"/>
    </row>
    <row r="28" spans="1:6">
      <c r="A28" s="13"/>
      <c r="B28" s="14"/>
      <c r="C28" s="14"/>
      <c r="D28" s="14"/>
      <c r="E28" s="45"/>
      <c r="F28" s="15"/>
    </row>
    <row r="29" spans="1:6">
      <c r="A29" s="13"/>
      <c r="B29" s="14"/>
      <c r="C29" s="14"/>
      <c r="D29" s="14"/>
      <c r="E29" s="14"/>
      <c r="F29" s="15"/>
    </row>
    <row r="30" spans="1:6">
      <c r="A30" s="13"/>
      <c r="B30" s="14"/>
      <c r="C30" s="14"/>
      <c r="D30" s="14"/>
      <c r="E30" s="14"/>
      <c r="F30" s="15"/>
    </row>
    <row r="31" spans="1:6">
      <c r="A31" s="13"/>
      <c r="B31" s="14"/>
      <c r="C31" s="14"/>
      <c r="D31" s="14"/>
      <c r="E31" s="14"/>
      <c r="F31" s="15"/>
    </row>
    <row r="32" spans="1:6">
      <c r="A32" s="13"/>
      <c r="B32" s="14"/>
      <c r="C32" s="14"/>
      <c r="D32" s="14"/>
      <c r="E32" s="14"/>
      <c r="F32" s="15"/>
    </row>
    <row r="33" spans="1:6">
      <c r="A33" s="13"/>
      <c r="B33" s="14"/>
      <c r="C33" s="14"/>
      <c r="D33" s="14"/>
      <c r="E33" s="14"/>
      <c r="F33" s="15"/>
    </row>
    <row r="34" spans="1:6">
      <c r="A34" s="13"/>
      <c r="B34" s="14"/>
      <c r="C34" s="14"/>
      <c r="D34" s="14"/>
      <c r="E34" s="14"/>
      <c r="F34" s="15"/>
    </row>
    <row r="35" spans="1:6">
      <c r="A35" s="13"/>
      <c r="B35" s="14"/>
      <c r="C35" s="14"/>
      <c r="D35" s="14"/>
      <c r="E35" s="14"/>
      <c r="F35" s="15"/>
    </row>
    <row r="36" spans="1:6">
      <c r="A36" s="13"/>
      <c r="B36" s="14"/>
      <c r="C36" s="14"/>
      <c r="D36" s="14"/>
      <c r="E36" s="14"/>
      <c r="F36" s="15"/>
    </row>
    <row r="37" spans="1:6">
      <c r="A37" s="13"/>
      <c r="B37" s="14"/>
      <c r="C37" s="14"/>
      <c r="D37" s="14"/>
      <c r="E37" s="14"/>
      <c r="F37" s="15"/>
    </row>
    <row r="38" spans="1:6">
      <c r="A38" s="13"/>
      <c r="B38" s="14"/>
      <c r="C38" s="14"/>
      <c r="D38" s="14"/>
      <c r="E38" s="14"/>
      <c r="F38" s="15"/>
    </row>
    <row r="39" spans="1:6">
      <c r="A39" s="13"/>
      <c r="B39" s="14"/>
      <c r="C39" s="14"/>
      <c r="D39" s="14"/>
      <c r="E39" s="14"/>
      <c r="F39" s="15"/>
    </row>
    <row r="40" spans="1:6">
      <c r="A40" s="16"/>
      <c r="B40" s="17"/>
      <c r="C40" s="17"/>
      <c r="D40" s="17"/>
      <c r="E40" s="17"/>
      <c r="F40" s="18"/>
    </row>
    <row r="42" spans="1:6" ht="15.75">
      <c r="A42" s="98"/>
    </row>
  </sheetData>
  <mergeCells count="4">
    <mergeCell ref="A2:F2"/>
    <mergeCell ref="A3:F3"/>
    <mergeCell ref="B5:C5"/>
    <mergeCell ref="A1:F1"/>
  </mergeCells>
  <phoneticPr fontId="0" type="noConversion"/>
  <printOptions horizontalCentered="1"/>
  <pageMargins left="0.39370078740157483" right="0.19685039370078741" top="0.51181102362204722" bottom="0.19685039370078741" header="0" footer="0"/>
  <pageSetup scale="9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4"/>
  <sheetViews>
    <sheetView workbookViewId="0">
      <selection activeCell="B5" sqref="B5:G6"/>
    </sheetView>
  </sheetViews>
  <sheetFormatPr baseColWidth="10" defaultRowHeight="12.75"/>
  <cols>
    <col min="1" max="1" width="4" customWidth="1"/>
    <col min="2" max="2" width="37" bestFit="1" customWidth="1"/>
    <col min="3" max="6" width="14.85546875" customWidth="1"/>
    <col min="7" max="7" width="32.7109375" customWidth="1"/>
  </cols>
  <sheetData>
    <row r="1" spans="2:7" ht="15.75">
      <c r="B1" s="336" t="s">
        <v>366</v>
      </c>
      <c r="C1" s="336"/>
      <c r="D1" s="336"/>
      <c r="E1" s="336"/>
      <c r="F1" s="336"/>
      <c r="G1" s="336"/>
    </row>
    <row r="2" spans="2:7">
      <c r="B2" s="335" t="s">
        <v>1131</v>
      </c>
      <c r="C2" s="335"/>
      <c r="D2" s="335"/>
      <c r="E2" s="335"/>
      <c r="F2" s="335"/>
      <c r="G2" s="335"/>
    </row>
    <row r="3" spans="2:7">
      <c r="B3" s="335" t="s">
        <v>337</v>
      </c>
      <c r="C3" s="335"/>
      <c r="D3" s="335"/>
      <c r="E3" s="335"/>
      <c r="F3" s="335"/>
      <c r="G3" s="335"/>
    </row>
    <row r="4" spans="2:7" ht="13.5" thickBot="1"/>
    <row r="5" spans="2:7" ht="13.5" thickBot="1">
      <c r="B5" s="438" t="s">
        <v>0</v>
      </c>
      <c r="C5" s="439" t="s">
        <v>210</v>
      </c>
      <c r="D5" s="440"/>
      <c r="E5" s="441" t="s">
        <v>40</v>
      </c>
      <c r="F5" s="441" t="s">
        <v>41</v>
      </c>
      <c r="G5" s="438" t="s">
        <v>238</v>
      </c>
    </row>
    <row r="6" spans="2:7" ht="13.5" thickBot="1">
      <c r="B6" s="442"/>
      <c r="C6" s="443">
        <v>2010</v>
      </c>
      <c r="D6" s="443">
        <v>2011</v>
      </c>
      <c r="E6" s="443">
        <v>2011</v>
      </c>
      <c r="F6" s="443"/>
      <c r="G6" s="444"/>
    </row>
    <row r="8" spans="2:7">
      <c r="B8" s="5"/>
      <c r="C8" s="23"/>
      <c r="D8" s="23"/>
      <c r="E8" s="23"/>
      <c r="F8" s="23"/>
      <c r="G8" s="21"/>
    </row>
    <row r="9" spans="2:7">
      <c r="B9" s="26" t="s">
        <v>54</v>
      </c>
      <c r="C9" s="250">
        <f>VLOOKUP($B9,'[1]Admón Púb.'!$A$10:$I$14,7,0)</f>
        <v>225771170.88999999</v>
      </c>
      <c r="D9" s="96">
        <f>SUM('Egresos Reales'!N8)</f>
        <v>238524257.74000001</v>
      </c>
      <c r="E9" s="24">
        <f>SUM('Presupuesto Egresos'!N8)</f>
        <v>264694266.30000001</v>
      </c>
      <c r="F9" s="96">
        <f>SUM(E9-D9)</f>
        <v>26170008.560000002</v>
      </c>
      <c r="G9" s="6"/>
    </row>
    <row r="10" spans="2:7">
      <c r="B10" s="19"/>
      <c r="C10" s="250"/>
      <c r="D10" s="24"/>
      <c r="E10" s="24"/>
      <c r="F10" s="24"/>
      <c r="G10" s="6"/>
    </row>
    <row r="11" spans="2:7">
      <c r="B11" s="26" t="s">
        <v>56</v>
      </c>
      <c r="C11" s="250">
        <f>VLOOKUP($B11,'[1]Admón Púb.'!$A$10:$I$14,7,0)</f>
        <v>60883479.719999991</v>
      </c>
      <c r="D11" s="96">
        <f>SUM('Egresos Reales'!N9)</f>
        <v>57952469.240000002</v>
      </c>
      <c r="E11" s="24">
        <f>SUM('Presupuesto Egresos'!N9)</f>
        <v>38946607.060000002</v>
      </c>
      <c r="F11" s="96">
        <f>SUM(E11-D11)</f>
        <v>-19005862.18</v>
      </c>
      <c r="G11" s="6"/>
    </row>
    <row r="12" spans="2:7">
      <c r="B12" s="6"/>
      <c r="C12" s="250"/>
      <c r="D12" s="24"/>
      <c r="E12" s="24"/>
      <c r="F12" s="24"/>
      <c r="G12" s="6"/>
    </row>
    <row r="13" spans="2:7">
      <c r="B13" s="26" t="s">
        <v>55</v>
      </c>
      <c r="C13" s="250">
        <f>VLOOKUP($B13,'[1]Admón Púb.'!$A$10:$I$14,7,0)</f>
        <v>36693694.520000003</v>
      </c>
      <c r="D13" s="96">
        <f>SUM('Egresos Reales'!N10)</f>
        <v>54042483.340000004</v>
      </c>
      <c r="E13" s="24">
        <f>SUM('Presupuesto Egresos'!N10)</f>
        <v>55809564.229999997</v>
      </c>
      <c r="F13" s="96">
        <f>SUM(E13-D13)</f>
        <v>1767080.8899999931</v>
      </c>
      <c r="G13" s="6"/>
    </row>
    <row r="14" spans="2:7">
      <c r="B14" s="7"/>
      <c r="C14" s="25"/>
      <c r="D14" s="25"/>
      <c r="E14" s="25"/>
      <c r="F14" s="25"/>
      <c r="G14" s="6"/>
    </row>
    <row r="15" spans="2:7" ht="13.5" thickBot="1">
      <c r="B15" s="13"/>
      <c r="C15" s="45"/>
      <c r="D15" s="45"/>
      <c r="E15" s="45"/>
      <c r="F15" s="45"/>
      <c r="G15" s="6"/>
    </row>
    <row r="16" spans="2:7" ht="24" customHeight="1" thickBot="1">
      <c r="B16" s="426" t="s">
        <v>4</v>
      </c>
      <c r="C16" s="427">
        <f>SUM(C8:C14)</f>
        <v>323348345.12999994</v>
      </c>
      <c r="D16" s="452">
        <f>SUM(D8:D14)</f>
        <v>350519210.32000005</v>
      </c>
      <c r="E16" s="427">
        <f>SUM(E8:E14)</f>
        <v>359450437.59000003</v>
      </c>
      <c r="F16" s="452">
        <f>SUM(F8:F14)</f>
        <v>8931227.2699999958</v>
      </c>
      <c r="G16" s="457"/>
    </row>
    <row r="17" spans="2:7">
      <c r="B17" s="13"/>
      <c r="C17" s="14"/>
      <c r="D17" s="14"/>
      <c r="E17" s="14"/>
      <c r="F17" s="14"/>
      <c r="G17" s="15"/>
    </row>
    <row r="18" spans="2:7">
      <c r="B18" s="13"/>
      <c r="C18" s="14"/>
      <c r="D18" s="14"/>
      <c r="E18" s="14"/>
      <c r="F18" s="14"/>
      <c r="G18" s="15"/>
    </row>
    <row r="19" spans="2:7">
      <c r="B19" s="13"/>
      <c r="C19" s="14"/>
      <c r="D19" s="14"/>
      <c r="E19" s="14"/>
      <c r="F19" s="14"/>
      <c r="G19" s="15"/>
    </row>
    <row r="20" spans="2:7">
      <c r="B20" s="13"/>
      <c r="C20" s="14"/>
      <c r="D20" s="14"/>
      <c r="E20" s="14"/>
      <c r="F20" s="14"/>
      <c r="G20" s="15"/>
    </row>
    <row r="21" spans="2:7">
      <c r="B21" s="13"/>
      <c r="C21" s="14"/>
      <c r="D21" s="14"/>
      <c r="E21" s="14"/>
      <c r="F21" s="14"/>
      <c r="G21" s="15"/>
    </row>
    <row r="22" spans="2:7">
      <c r="B22" s="13"/>
      <c r="C22" s="14"/>
      <c r="D22" s="14"/>
      <c r="E22" s="14"/>
      <c r="F22" s="14"/>
      <c r="G22" s="15"/>
    </row>
    <row r="23" spans="2:7">
      <c r="B23" s="13"/>
      <c r="C23" s="14"/>
      <c r="D23" s="14"/>
      <c r="E23" s="14"/>
      <c r="F23" s="14"/>
      <c r="G23" s="15"/>
    </row>
    <row r="24" spans="2:7">
      <c r="B24" s="13"/>
      <c r="C24" s="14"/>
      <c r="D24" s="14"/>
      <c r="E24" s="14"/>
      <c r="F24" s="14"/>
      <c r="G24" s="15"/>
    </row>
    <row r="25" spans="2:7">
      <c r="B25" s="13"/>
      <c r="C25" s="14"/>
      <c r="D25" s="14"/>
      <c r="E25" s="14"/>
      <c r="F25" s="14"/>
      <c r="G25" s="15"/>
    </row>
    <row r="26" spans="2:7">
      <c r="B26" s="13"/>
      <c r="C26" s="14"/>
      <c r="D26" s="14"/>
      <c r="E26" s="14"/>
      <c r="F26" s="14"/>
      <c r="G26" s="15"/>
    </row>
    <row r="27" spans="2:7">
      <c r="B27" s="13"/>
      <c r="C27" s="14"/>
      <c r="D27" s="14"/>
      <c r="E27" s="14"/>
      <c r="F27" s="14"/>
      <c r="G27" s="15"/>
    </row>
    <row r="28" spans="2:7">
      <c r="B28" s="13"/>
      <c r="C28" s="14"/>
      <c r="D28" s="14"/>
      <c r="E28" s="14"/>
      <c r="F28" s="14"/>
      <c r="G28" s="15"/>
    </row>
    <row r="29" spans="2:7">
      <c r="B29" s="13"/>
      <c r="C29" s="14"/>
      <c r="D29" s="14"/>
      <c r="E29" s="14"/>
      <c r="F29" s="14"/>
      <c r="G29" s="15"/>
    </row>
    <row r="30" spans="2:7">
      <c r="B30" s="13"/>
      <c r="C30" s="14"/>
      <c r="D30" s="14"/>
      <c r="E30" s="14"/>
      <c r="F30" s="14"/>
      <c r="G30" s="15"/>
    </row>
    <row r="31" spans="2:7">
      <c r="B31" s="13"/>
      <c r="C31" s="14"/>
      <c r="D31" s="14"/>
      <c r="E31" s="14"/>
      <c r="F31" s="14"/>
      <c r="G31" s="15"/>
    </row>
    <row r="32" spans="2:7">
      <c r="B32" s="13"/>
      <c r="C32" s="14"/>
      <c r="D32" s="14"/>
      <c r="E32" s="14"/>
      <c r="F32" s="14"/>
      <c r="G32" s="15"/>
    </row>
    <row r="33" spans="2:7">
      <c r="B33" s="13"/>
      <c r="C33" s="14"/>
      <c r="D33" s="14"/>
      <c r="E33" s="14"/>
      <c r="F33" s="14"/>
      <c r="G33" s="15"/>
    </row>
    <row r="34" spans="2:7">
      <c r="B34" s="13"/>
      <c r="C34" s="14"/>
      <c r="D34" s="14"/>
      <c r="E34" s="14"/>
      <c r="F34" s="14"/>
      <c r="G34" s="15"/>
    </row>
    <row r="35" spans="2:7">
      <c r="B35" s="13"/>
      <c r="C35" s="14"/>
      <c r="D35" s="14"/>
      <c r="E35" s="14"/>
      <c r="F35" s="14"/>
      <c r="G35" s="15"/>
    </row>
    <row r="36" spans="2:7">
      <c r="B36" s="13"/>
      <c r="C36" s="14"/>
      <c r="D36" s="14"/>
      <c r="E36" s="14"/>
      <c r="F36" s="14"/>
      <c r="G36" s="15"/>
    </row>
    <row r="37" spans="2:7">
      <c r="B37" s="13"/>
      <c r="C37" s="14"/>
      <c r="D37" s="14"/>
      <c r="E37" s="14"/>
      <c r="F37" s="14"/>
      <c r="G37" s="15"/>
    </row>
    <row r="38" spans="2:7">
      <c r="B38" s="13"/>
      <c r="C38" s="14"/>
      <c r="D38" s="14"/>
      <c r="E38" s="14"/>
      <c r="F38" s="14"/>
      <c r="G38" s="15"/>
    </row>
    <row r="39" spans="2:7">
      <c r="B39" s="13"/>
      <c r="C39" s="14"/>
      <c r="D39" s="14"/>
      <c r="E39" s="14"/>
      <c r="F39" s="14"/>
      <c r="G39" s="15"/>
    </row>
    <row r="40" spans="2:7">
      <c r="B40" s="13"/>
      <c r="C40" s="14"/>
      <c r="D40" s="14"/>
      <c r="E40" s="14"/>
      <c r="F40" s="14"/>
      <c r="G40" s="15"/>
    </row>
    <row r="41" spans="2:7">
      <c r="B41" s="13"/>
      <c r="C41" s="14"/>
      <c r="D41" s="14"/>
      <c r="E41" s="14"/>
      <c r="F41" s="14"/>
      <c r="G41" s="15"/>
    </row>
    <row r="42" spans="2:7">
      <c r="B42" s="16"/>
      <c r="C42" s="17"/>
      <c r="D42" s="17"/>
      <c r="E42" s="17"/>
      <c r="F42" s="17"/>
      <c r="G42" s="18"/>
    </row>
    <row r="44" spans="2:7" ht="15.75">
      <c r="B44" s="98"/>
    </row>
  </sheetData>
  <mergeCells count="4">
    <mergeCell ref="B2:G2"/>
    <mergeCell ref="B3:G3"/>
    <mergeCell ref="C5:D5"/>
    <mergeCell ref="B1:G1"/>
  </mergeCells>
  <phoneticPr fontId="7" type="noConversion"/>
  <printOptions horizontalCentered="1"/>
  <pageMargins left="0.27559055118110237" right="0.39370078740157483" top="0.37" bottom="0.19685039370078741" header="0.44" footer="0"/>
  <pageSetup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3"/>
  <sheetViews>
    <sheetView workbookViewId="0">
      <selection activeCell="B22" sqref="B22:G22"/>
    </sheetView>
  </sheetViews>
  <sheetFormatPr baseColWidth="10" defaultRowHeight="12.75"/>
  <cols>
    <col min="1" max="1" width="6.28515625" customWidth="1"/>
    <col min="2" max="2" width="37" bestFit="1" customWidth="1"/>
    <col min="3" max="6" width="14.85546875" customWidth="1"/>
    <col min="7" max="7" width="33.140625" customWidth="1"/>
  </cols>
  <sheetData>
    <row r="1" spans="2:7" ht="15.75">
      <c r="B1" s="336" t="s">
        <v>366</v>
      </c>
      <c r="C1" s="336"/>
      <c r="D1" s="336"/>
      <c r="E1" s="336"/>
      <c r="F1" s="336"/>
      <c r="G1" s="336"/>
    </row>
    <row r="2" spans="2:7">
      <c r="B2" s="335" t="s">
        <v>1131</v>
      </c>
      <c r="C2" s="335"/>
      <c r="D2" s="335"/>
      <c r="E2" s="335"/>
      <c r="F2" s="335"/>
      <c r="G2" s="335"/>
    </row>
    <row r="3" spans="2:7">
      <c r="B3" s="335" t="s">
        <v>70</v>
      </c>
      <c r="C3" s="335"/>
      <c r="D3" s="335"/>
      <c r="E3" s="335"/>
      <c r="F3" s="335"/>
      <c r="G3" s="335"/>
    </row>
    <row r="4" spans="2:7" ht="13.5" thickBot="1"/>
    <row r="5" spans="2:7" ht="13.5" thickBot="1">
      <c r="B5" s="438" t="s">
        <v>0</v>
      </c>
      <c r="C5" s="439" t="s">
        <v>210</v>
      </c>
      <c r="D5" s="440"/>
      <c r="E5" s="441" t="s">
        <v>40</v>
      </c>
      <c r="F5" s="441" t="s">
        <v>41</v>
      </c>
      <c r="G5" s="438" t="s">
        <v>238</v>
      </c>
    </row>
    <row r="6" spans="2:7" ht="13.5" thickBot="1">
      <c r="B6" s="442"/>
      <c r="C6" s="443">
        <v>2010</v>
      </c>
      <c r="D6" s="443">
        <v>2011</v>
      </c>
      <c r="E6" s="443">
        <v>2011</v>
      </c>
      <c r="F6" s="443"/>
      <c r="G6" s="444"/>
    </row>
    <row r="8" spans="2:7">
      <c r="B8" s="5"/>
      <c r="C8" s="23"/>
      <c r="D8" s="23"/>
      <c r="E8" s="23"/>
      <c r="F8" s="23"/>
      <c r="G8" s="21"/>
    </row>
    <row r="9" spans="2:7">
      <c r="B9" s="26" t="s">
        <v>71</v>
      </c>
      <c r="C9" s="250">
        <f>VLOOKUP($B9,'[1]Serv. Com.'!$A$10:$H$20,7,0)</f>
        <v>66481296.369999997</v>
      </c>
      <c r="D9" s="96">
        <f>SUM('Egresos Reales'!N13)</f>
        <v>70255075.460000008</v>
      </c>
      <c r="E9" s="24">
        <f>SUM('Presupuesto Egresos'!N13)</f>
        <v>69379083.079999998</v>
      </c>
      <c r="F9" s="96">
        <f>SUM(E9-D9)</f>
        <v>-875992.38000001013</v>
      </c>
      <c r="G9" s="6"/>
    </row>
    <row r="10" spans="2:7">
      <c r="B10" s="6"/>
      <c r="C10" s="250"/>
      <c r="D10" s="24"/>
      <c r="E10" s="24"/>
      <c r="F10" s="24"/>
      <c r="G10" s="6"/>
    </row>
    <row r="11" spans="2:7">
      <c r="B11" s="26" t="s">
        <v>152</v>
      </c>
      <c r="C11" s="250">
        <f>VLOOKUP($B11,'[1]Serv. Com.'!$A$10:$H$20,7,0)</f>
        <v>26900862.649999999</v>
      </c>
      <c r="D11" s="96">
        <f>SUM('Egresos Reales'!N14)</f>
        <v>33706715.57</v>
      </c>
      <c r="E11" s="24">
        <f>SUM('Presupuesto Egresos'!N14)</f>
        <v>34957513.519999996</v>
      </c>
      <c r="F11" s="96">
        <f>SUM(E11-D11)</f>
        <v>1250797.9499999955</v>
      </c>
      <c r="G11" s="6"/>
    </row>
    <row r="12" spans="2:7">
      <c r="B12" s="6"/>
      <c r="C12" s="250"/>
      <c r="D12" s="24"/>
      <c r="E12" s="24"/>
      <c r="F12" s="24"/>
      <c r="G12" s="6"/>
    </row>
    <row r="13" spans="2:7">
      <c r="B13" s="26" t="s">
        <v>57</v>
      </c>
      <c r="C13" s="250">
        <f>VLOOKUP($B13,'[1]Serv. Com.'!$A$10:$H$20,7,0)</f>
        <v>266916</v>
      </c>
      <c r="D13" s="96">
        <f>SUM('Egresos Reales'!N15)</f>
        <v>437060.01</v>
      </c>
      <c r="E13" s="24">
        <f>SUM('Presupuesto Egresos'!N15)</f>
        <v>428520</v>
      </c>
      <c r="F13" s="96">
        <f>SUM(E13-D13)</f>
        <v>-8540.0100000000093</v>
      </c>
      <c r="G13" s="6"/>
    </row>
    <row r="14" spans="2:7">
      <c r="B14" s="6"/>
      <c r="C14" s="250"/>
      <c r="D14" s="96"/>
      <c r="E14" s="24"/>
      <c r="F14" s="96"/>
      <c r="G14" s="6"/>
    </row>
    <row r="15" spans="2:7">
      <c r="B15" s="26" t="s">
        <v>58</v>
      </c>
      <c r="C15" s="250">
        <f>VLOOKUP($B15,'[1]Serv. Com.'!$A$10:$H$20,7,0)</f>
        <v>0</v>
      </c>
      <c r="D15" s="96">
        <f>SUM('Egresos Reales'!N16)</f>
        <v>0</v>
      </c>
      <c r="E15" s="24">
        <f>SUM('Presupuesto Egresos'!N16)</f>
        <v>0</v>
      </c>
      <c r="F15" s="96">
        <f>SUM(E15-D15)</f>
        <v>0</v>
      </c>
      <c r="G15" s="6"/>
    </row>
    <row r="16" spans="2:7">
      <c r="B16" s="6"/>
      <c r="C16" s="250"/>
      <c r="D16" s="96"/>
      <c r="E16" s="24"/>
      <c r="F16" s="96"/>
      <c r="G16" s="6"/>
    </row>
    <row r="17" spans="2:7">
      <c r="B17" s="26" t="s">
        <v>153</v>
      </c>
      <c r="C17" s="250">
        <f>VLOOKUP($B17,'[1]Serv. Com.'!$A$10:$H$20,7,0)</f>
        <v>0</v>
      </c>
      <c r="D17" s="96">
        <f>SUM('Egresos Reales'!N17)</f>
        <v>0</v>
      </c>
      <c r="E17" s="24">
        <f>SUM('Presupuesto Egresos'!N17)</f>
        <v>0</v>
      </c>
      <c r="F17" s="96">
        <f>SUM(E17-D17)</f>
        <v>0</v>
      </c>
      <c r="G17" s="6"/>
    </row>
    <row r="18" spans="2:7">
      <c r="B18" s="26"/>
      <c r="C18" s="250"/>
      <c r="D18" s="96"/>
      <c r="E18" s="24"/>
      <c r="F18" s="96"/>
      <c r="G18" s="6"/>
    </row>
    <row r="19" spans="2:7">
      <c r="B19" s="26" t="s">
        <v>3</v>
      </c>
      <c r="C19" s="250">
        <f>VLOOKUP($B19,'[1]Serv. Com.'!$A$10:$H$20,7,0)</f>
        <v>3852947.54</v>
      </c>
      <c r="D19" s="96">
        <f>SUM('Egresos Reales'!N18)</f>
        <v>5489458.46</v>
      </c>
      <c r="E19" s="24">
        <f>SUM('Presupuesto Egresos'!N18)</f>
        <v>5435846.5099999998</v>
      </c>
      <c r="F19" s="96">
        <f>SUM(E19-D19)</f>
        <v>-53611.950000000186</v>
      </c>
      <c r="G19" s="6"/>
    </row>
    <row r="20" spans="2:7">
      <c r="B20" s="7"/>
      <c r="C20" s="25"/>
      <c r="D20" s="25"/>
      <c r="E20" s="25"/>
      <c r="F20" s="25"/>
      <c r="G20" s="6"/>
    </row>
    <row r="21" spans="2:7" ht="13.5" thickBot="1">
      <c r="B21" s="13"/>
      <c r="C21" s="45"/>
      <c r="D21" s="45"/>
      <c r="E21" s="45"/>
      <c r="F21" s="45"/>
      <c r="G21" s="6"/>
    </row>
    <row r="22" spans="2:7" ht="22.5" customHeight="1" thickBot="1">
      <c r="B22" s="426" t="s">
        <v>4</v>
      </c>
      <c r="C22" s="427">
        <f>SUM(C8:C20)</f>
        <v>97502022.560000002</v>
      </c>
      <c r="D22" s="452">
        <f>SUM(D8:D20)</f>
        <v>109888309.5</v>
      </c>
      <c r="E22" s="427">
        <f>SUM(E8:E20)</f>
        <v>110200963.11</v>
      </c>
      <c r="F22" s="452">
        <f>SUM(F8:F20)</f>
        <v>312653.6099999852</v>
      </c>
      <c r="G22" s="457"/>
    </row>
    <row r="23" spans="2:7">
      <c r="B23" s="274"/>
      <c r="C23" s="90"/>
      <c r="D23" s="275"/>
      <c r="E23" s="90"/>
      <c r="F23" s="275"/>
      <c r="G23" s="276"/>
    </row>
    <row r="24" spans="2:7">
      <c r="B24" s="274"/>
      <c r="C24" s="90"/>
      <c r="D24" s="275"/>
      <c r="E24" s="90"/>
      <c r="F24" s="275"/>
      <c r="G24" s="276"/>
    </row>
    <row r="25" spans="2:7">
      <c r="B25" s="13"/>
      <c r="C25" s="14"/>
      <c r="D25" s="14"/>
      <c r="E25" s="14"/>
      <c r="F25" s="14"/>
      <c r="G25" s="15"/>
    </row>
    <row r="26" spans="2:7">
      <c r="B26" s="13"/>
      <c r="C26" s="14"/>
      <c r="D26" s="14"/>
      <c r="E26" s="14"/>
      <c r="F26" s="14"/>
      <c r="G26" s="15"/>
    </row>
    <row r="27" spans="2:7">
      <c r="B27" s="13"/>
      <c r="C27" s="14"/>
      <c r="D27" s="14"/>
      <c r="E27" s="14"/>
      <c r="F27" s="14"/>
      <c r="G27" s="15"/>
    </row>
    <row r="28" spans="2:7">
      <c r="B28" s="13"/>
      <c r="C28" s="14"/>
      <c r="D28" s="14"/>
      <c r="E28" s="14"/>
      <c r="F28" s="14"/>
      <c r="G28" s="15"/>
    </row>
    <row r="29" spans="2:7">
      <c r="B29" s="13"/>
      <c r="C29" s="14"/>
      <c r="D29" s="14"/>
      <c r="E29" s="14"/>
      <c r="F29" s="14"/>
      <c r="G29" s="15"/>
    </row>
    <row r="30" spans="2:7">
      <c r="B30" s="13"/>
      <c r="C30" s="14"/>
      <c r="D30" s="14"/>
      <c r="E30" s="14"/>
      <c r="F30" s="14"/>
      <c r="G30" s="15"/>
    </row>
    <row r="31" spans="2:7">
      <c r="B31" s="13"/>
      <c r="C31" s="14"/>
      <c r="D31" s="14"/>
      <c r="E31" s="14"/>
      <c r="F31" s="14"/>
      <c r="G31" s="15"/>
    </row>
    <row r="32" spans="2:7">
      <c r="B32" s="13"/>
      <c r="C32" s="14"/>
      <c r="D32" s="14"/>
      <c r="E32" s="14"/>
      <c r="F32" s="14"/>
      <c r="G32" s="15"/>
    </row>
    <row r="33" spans="2:7">
      <c r="B33" s="13"/>
      <c r="C33" s="14"/>
      <c r="D33" s="14"/>
      <c r="E33" s="14"/>
      <c r="F33" s="14"/>
      <c r="G33" s="15"/>
    </row>
    <row r="34" spans="2:7">
      <c r="B34" s="13"/>
      <c r="C34" s="14"/>
      <c r="D34" s="14"/>
      <c r="E34" s="14"/>
      <c r="F34" s="14"/>
      <c r="G34" s="15"/>
    </row>
    <row r="35" spans="2:7">
      <c r="B35" s="13"/>
      <c r="C35" s="14"/>
      <c r="D35" s="14"/>
      <c r="E35" s="14"/>
      <c r="F35" s="14"/>
      <c r="G35" s="15"/>
    </row>
    <row r="36" spans="2:7">
      <c r="B36" s="13"/>
      <c r="C36" s="14"/>
      <c r="D36" s="14"/>
      <c r="E36" s="14"/>
      <c r="F36" s="14"/>
      <c r="G36" s="15"/>
    </row>
    <row r="37" spans="2:7">
      <c r="B37" s="13"/>
      <c r="C37" s="14"/>
      <c r="D37" s="14"/>
      <c r="E37" s="14"/>
      <c r="F37" s="14"/>
      <c r="G37" s="15"/>
    </row>
    <row r="38" spans="2:7">
      <c r="B38" s="13"/>
      <c r="C38" s="14"/>
      <c r="D38" s="14"/>
      <c r="E38" s="14"/>
      <c r="F38" s="14"/>
      <c r="G38" s="15"/>
    </row>
    <row r="39" spans="2:7">
      <c r="B39" s="13"/>
      <c r="C39" s="14"/>
      <c r="D39" s="14"/>
      <c r="E39" s="14"/>
      <c r="F39" s="14"/>
      <c r="G39" s="15"/>
    </row>
    <row r="40" spans="2:7">
      <c r="B40" s="13"/>
      <c r="C40" s="14"/>
      <c r="D40" s="14"/>
      <c r="E40" s="14"/>
      <c r="F40" s="14"/>
      <c r="G40" s="15"/>
    </row>
    <row r="41" spans="2:7">
      <c r="B41" s="16"/>
      <c r="C41" s="17"/>
      <c r="D41" s="17"/>
      <c r="E41" s="17"/>
      <c r="F41" s="17"/>
      <c r="G41" s="18"/>
    </row>
    <row r="43" spans="2:7" ht="15.75">
      <c r="B43" s="98"/>
    </row>
  </sheetData>
  <mergeCells count="4">
    <mergeCell ref="B2:G2"/>
    <mergeCell ref="B3:G3"/>
    <mergeCell ref="C5:D5"/>
    <mergeCell ref="B1:G1"/>
  </mergeCells>
  <phoneticPr fontId="7" type="noConversion"/>
  <printOptions horizontalCentered="1"/>
  <pageMargins left="0.17" right="0.3" top="0.48" bottom="0.17" header="0" footer="0"/>
  <pageSetup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B1:G45"/>
  <sheetViews>
    <sheetView workbookViewId="0">
      <selection activeCell="B5" sqref="B5:G6"/>
    </sheetView>
  </sheetViews>
  <sheetFormatPr baseColWidth="10" defaultRowHeight="12.75"/>
  <cols>
    <col min="1" max="1" width="3.7109375" customWidth="1"/>
    <col min="2" max="2" width="37" bestFit="1" customWidth="1"/>
    <col min="3" max="6" width="14.85546875" customWidth="1"/>
    <col min="7" max="7" width="36.85546875" customWidth="1"/>
  </cols>
  <sheetData>
    <row r="1" spans="2:7" ht="15.75">
      <c r="B1" s="336" t="s">
        <v>366</v>
      </c>
      <c r="C1" s="336"/>
      <c r="D1" s="336"/>
      <c r="E1" s="336"/>
      <c r="F1" s="336"/>
      <c r="G1" s="336"/>
    </row>
    <row r="2" spans="2:7">
      <c r="B2" s="335" t="s">
        <v>1131</v>
      </c>
      <c r="C2" s="335"/>
      <c r="D2" s="335"/>
      <c r="E2" s="335"/>
      <c r="F2" s="335"/>
      <c r="G2" s="335"/>
    </row>
    <row r="3" spans="2:7">
      <c r="B3" s="335" t="s">
        <v>72</v>
      </c>
      <c r="C3" s="335"/>
      <c r="D3" s="335"/>
      <c r="E3" s="335"/>
      <c r="F3" s="335"/>
      <c r="G3" s="335"/>
    </row>
    <row r="4" spans="2:7" ht="13.5" thickBot="1"/>
    <row r="5" spans="2:7" ht="13.5" thickBot="1">
      <c r="B5" s="438" t="s">
        <v>0</v>
      </c>
      <c r="C5" s="439" t="s">
        <v>210</v>
      </c>
      <c r="D5" s="440"/>
      <c r="E5" s="441" t="s">
        <v>40</v>
      </c>
      <c r="F5" s="441" t="s">
        <v>41</v>
      </c>
      <c r="G5" s="438" t="s">
        <v>238</v>
      </c>
    </row>
    <row r="6" spans="2:7" ht="13.5" thickBot="1">
      <c r="B6" s="442"/>
      <c r="C6" s="443">
        <v>2010</v>
      </c>
      <c r="D6" s="443">
        <v>2011</v>
      </c>
      <c r="E6" s="443">
        <v>2011</v>
      </c>
      <c r="F6" s="443"/>
      <c r="G6" s="444"/>
    </row>
    <row r="8" spans="2:7">
      <c r="B8" s="5"/>
      <c r="C8" s="23"/>
      <c r="D8" s="23"/>
      <c r="E8" s="23"/>
      <c r="F8" s="23"/>
      <c r="G8" s="21"/>
    </row>
    <row r="9" spans="2:7">
      <c r="B9" s="26" t="s">
        <v>154</v>
      </c>
      <c r="C9" s="250">
        <f>VLOOKUP($B9,'[1]Des. Soc'!$A$10:$I$22,7,0)</f>
        <v>9362664.5199999996</v>
      </c>
      <c r="D9" s="96">
        <f>SUM('Egresos Reales'!N21)</f>
        <v>11052087.020000001</v>
      </c>
      <c r="E9" s="24">
        <f>SUM('Presupuesto Egresos'!N21)</f>
        <v>10645621.43</v>
      </c>
      <c r="F9" s="96">
        <f>SUM(E9-D9)</f>
        <v>-406465.59000000171</v>
      </c>
      <c r="G9" s="6"/>
    </row>
    <row r="10" spans="2:7">
      <c r="B10" s="19"/>
      <c r="C10" s="250"/>
      <c r="D10" s="24"/>
      <c r="E10" s="24"/>
      <c r="F10" s="24"/>
      <c r="G10" s="6"/>
    </row>
    <row r="11" spans="2:7">
      <c r="B11" s="26" t="s">
        <v>59</v>
      </c>
      <c r="C11" s="250">
        <f>VLOOKUP($B11,'[1]Des. Soc'!$A$10:$I$22,7,0)</f>
        <v>0</v>
      </c>
      <c r="D11" s="96">
        <f>SUM('Egresos Reales'!N22)</f>
        <v>0</v>
      </c>
      <c r="E11" s="24">
        <f>SUM('Presupuesto Egresos'!N22)</f>
        <v>0</v>
      </c>
      <c r="F11" s="96">
        <f>SUM(E11-D11)</f>
        <v>0</v>
      </c>
      <c r="G11" s="6"/>
    </row>
    <row r="12" spans="2:7">
      <c r="B12" s="19"/>
      <c r="C12" s="250"/>
      <c r="D12" s="24"/>
      <c r="E12" s="24"/>
      <c r="F12" s="24"/>
      <c r="G12" s="6"/>
    </row>
    <row r="13" spans="2:7">
      <c r="B13" s="26" t="s">
        <v>60</v>
      </c>
      <c r="C13" s="250">
        <f>VLOOKUP($B13,'[1]Des. Soc'!$A$10:$I$22,7,0)</f>
        <v>5858332.7400000002</v>
      </c>
      <c r="D13" s="96">
        <f>SUM('Egresos Reales'!N23)</f>
        <v>10800798.209999999</v>
      </c>
      <c r="E13" s="24">
        <f>SUM('Presupuesto Egresos'!N23)</f>
        <v>11115119.85</v>
      </c>
      <c r="F13" s="96">
        <f>SUM(E13-D13)</f>
        <v>314321.6400000006</v>
      </c>
      <c r="G13" s="6"/>
    </row>
    <row r="14" spans="2:7">
      <c r="B14" s="19"/>
      <c r="C14" s="250"/>
      <c r="D14" s="96"/>
      <c r="E14" s="24"/>
      <c r="F14" s="96"/>
      <c r="G14" s="6"/>
    </row>
    <row r="15" spans="2:7">
      <c r="B15" s="26" t="s">
        <v>61</v>
      </c>
      <c r="C15" s="250">
        <f>VLOOKUP($B15,'[1]Des. Soc'!$A$10:$I$22,7,0)</f>
        <v>1369682.7400000002</v>
      </c>
      <c r="D15" s="96">
        <f>SUM('Egresos Reales'!N24)</f>
        <v>2717072.88</v>
      </c>
      <c r="E15" s="24">
        <f>SUM('Presupuesto Egresos'!N24)</f>
        <v>2651771.17</v>
      </c>
      <c r="F15" s="96">
        <f>SUM(E15-D15)</f>
        <v>-65301.709999999963</v>
      </c>
      <c r="G15" s="6"/>
    </row>
    <row r="16" spans="2:7">
      <c r="B16" s="19"/>
      <c r="C16" s="250"/>
      <c r="D16" s="96"/>
      <c r="E16" s="24"/>
      <c r="F16" s="96"/>
      <c r="G16" s="6"/>
    </row>
    <row r="17" spans="2:7">
      <c r="B17" s="26" t="s">
        <v>62</v>
      </c>
      <c r="C17" s="250">
        <f>VLOOKUP($B17,'[1]Des. Soc'!$A$10:$I$22,7,0)</f>
        <v>12224766.070000002</v>
      </c>
      <c r="D17" s="96">
        <f>SUM('Egresos Reales'!N25)</f>
        <v>17453987.870000001</v>
      </c>
      <c r="E17" s="24">
        <f>SUM('Presupuesto Egresos'!N25)</f>
        <v>17869471.850000001</v>
      </c>
      <c r="F17" s="96">
        <f>SUM(E17-D17)</f>
        <v>415483.98000000045</v>
      </c>
      <c r="G17" s="6"/>
    </row>
    <row r="18" spans="2:7">
      <c r="B18" s="26"/>
      <c r="C18" s="250"/>
      <c r="D18" s="96"/>
      <c r="E18" s="24"/>
      <c r="F18" s="96"/>
      <c r="G18" s="6"/>
    </row>
    <row r="19" spans="2:7">
      <c r="B19" s="26" t="s">
        <v>3</v>
      </c>
      <c r="C19" s="250">
        <f>VLOOKUP($B19,'[1]Des. Soc'!$A$10:$I$22,7,0)</f>
        <v>2324288.3899999997</v>
      </c>
      <c r="D19" s="96">
        <f>SUM('Egresos Reales'!N26)</f>
        <v>2349140.19</v>
      </c>
      <c r="E19" s="24">
        <f>SUM('Presupuesto Egresos'!N26)</f>
        <v>2286623.19</v>
      </c>
      <c r="F19" s="96">
        <f>SUM(E19-D19)</f>
        <v>-62517</v>
      </c>
      <c r="G19" s="6"/>
    </row>
    <row r="20" spans="2:7">
      <c r="B20" s="26"/>
      <c r="C20" s="250"/>
      <c r="D20" s="96"/>
      <c r="E20" s="24"/>
      <c r="F20" s="96"/>
      <c r="G20" s="6"/>
    </row>
    <row r="21" spans="2:7">
      <c r="B21" s="26" t="s">
        <v>466</v>
      </c>
      <c r="C21" s="250">
        <f>VLOOKUP($B21,'[1]Des. Soc'!$A$10:$I$22,7,0)</f>
        <v>3482165.54</v>
      </c>
      <c r="D21" s="96">
        <f>SUM('Egresos Reales'!N27)</f>
        <v>4410525.87</v>
      </c>
      <c r="E21" s="24">
        <f>SUM('Presupuesto Egresos'!N27)</f>
        <v>4539825.9000000004</v>
      </c>
      <c r="F21" s="96">
        <f>SUM(E21-D21)</f>
        <v>129300.03000000026</v>
      </c>
      <c r="G21" s="6"/>
    </row>
    <row r="22" spans="2:7">
      <c r="B22" s="7"/>
      <c r="C22" s="25"/>
      <c r="D22" s="25"/>
      <c r="E22" s="25"/>
      <c r="F22" s="25"/>
      <c r="G22" s="6"/>
    </row>
    <row r="23" spans="2:7" ht="13.5" thickBot="1">
      <c r="B23" s="13"/>
      <c r="C23" s="45"/>
      <c r="D23" s="45"/>
      <c r="E23" s="45"/>
      <c r="F23" s="45"/>
      <c r="G23" s="6"/>
    </row>
    <row r="24" spans="2:7" ht="24" customHeight="1" thickBot="1">
      <c r="B24" s="463" t="s">
        <v>4</v>
      </c>
      <c r="C24" s="464">
        <f>SUM(C8:C22)</f>
        <v>34621900</v>
      </c>
      <c r="D24" s="465">
        <f>SUM(D8:D22)</f>
        <v>48783612.039999999</v>
      </c>
      <c r="E24" s="464">
        <f>SUM(E8:E22)</f>
        <v>49108433.390000001</v>
      </c>
      <c r="F24" s="465">
        <f>SUM(F8:F22)</f>
        <v>324821.34999999963</v>
      </c>
      <c r="G24" s="453"/>
    </row>
    <row r="25" spans="2:7">
      <c r="B25" s="13"/>
      <c r="C25" s="14"/>
      <c r="D25" s="14"/>
      <c r="E25" s="14"/>
      <c r="F25" s="14"/>
      <c r="G25" s="15"/>
    </row>
    <row r="26" spans="2:7">
      <c r="B26" s="13"/>
      <c r="C26" s="14"/>
      <c r="D26" s="14"/>
      <c r="E26" s="14"/>
      <c r="F26" s="14"/>
      <c r="G26" s="15"/>
    </row>
    <row r="27" spans="2:7">
      <c r="B27" s="13"/>
      <c r="C27" s="14"/>
      <c r="D27" s="14"/>
      <c r="E27" s="14"/>
      <c r="F27" s="14"/>
      <c r="G27" s="15"/>
    </row>
    <row r="28" spans="2:7">
      <c r="B28" s="13"/>
      <c r="C28" s="14"/>
      <c r="D28" s="14"/>
      <c r="E28" s="14"/>
      <c r="F28" s="14"/>
      <c r="G28" s="15"/>
    </row>
    <row r="29" spans="2:7">
      <c r="B29" s="13"/>
      <c r="C29" s="14"/>
      <c r="D29" s="14"/>
      <c r="E29" s="14"/>
      <c r="F29" s="14"/>
      <c r="G29" s="15"/>
    </row>
    <row r="30" spans="2:7">
      <c r="B30" s="13"/>
      <c r="C30" s="14"/>
      <c r="D30" s="14"/>
      <c r="E30" s="14"/>
      <c r="F30" s="14"/>
      <c r="G30" s="15"/>
    </row>
    <row r="31" spans="2:7">
      <c r="B31" s="13"/>
      <c r="C31" s="14"/>
      <c r="D31" s="14"/>
      <c r="E31" s="14"/>
      <c r="F31" s="14"/>
      <c r="G31" s="15"/>
    </row>
    <row r="32" spans="2:7">
      <c r="B32" s="13"/>
      <c r="C32" s="14"/>
      <c r="D32" s="14"/>
      <c r="E32" s="14"/>
      <c r="F32" s="14"/>
      <c r="G32" s="15"/>
    </row>
    <row r="33" spans="2:7">
      <c r="B33" s="13"/>
      <c r="C33" s="14"/>
      <c r="D33" s="14"/>
      <c r="E33" s="14"/>
      <c r="F33" s="14"/>
      <c r="G33" s="15"/>
    </row>
    <row r="34" spans="2:7">
      <c r="B34" s="13"/>
      <c r="C34" s="14"/>
      <c r="D34" s="14"/>
      <c r="E34" s="14"/>
      <c r="F34" s="14"/>
      <c r="G34" s="15"/>
    </row>
    <row r="35" spans="2:7">
      <c r="B35" s="13"/>
      <c r="C35" s="14"/>
      <c r="D35" s="14"/>
      <c r="E35" s="14"/>
      <c r="F35" s="14"/>
      <c r="G35" s="15"/>
    </row>
    <row r="36" spans="2:7">
      <c r="B36" s="13"/>
      <c r="C36" s="14"/>
      <c r="D36" s="14"/>
      <c r="E36" s="14"/>
      <c r="F36" s="14"/>
      <c r="G36" s="15"/>
    </row>
    <row r="37" spans="2:7">
      <c r="B37" s="13"/>
      <c r="C37" s="14"/>
      <c r="D37" s="14"/>
      <c r="E37" s="14"/>
      <c r="F37" s="14"/>
      <c r="G37" s="15"/>
    </row>
    <row r="38" spans="2:7">
      <c r="B38" s="13"/>
      <c r="C38" s="14"/>
      <c r="D38" s="14"/>
      <c r="E38" s="14"/>
      <c r="F38" s="14"/>
      <c r="G38" s="15"/>
    </row>
    <row r="39" spans="2:7">
      <c r="B39" s="13"/>
      <c r="C39" s="14"/>
      <c r="D39" s="14"/>
      <c r="E39" s="14"/>
      <c r="F39" s="14"/>
      <c r="G39" s="15"/>
    </row>
    <row r="40" spans="2:7">
      <c r="B40" s="13"/>
      <c r="C40" s="14"/>
      <c r="D40" s="14"/>
      <c r="E40" s="14"/>
      <c r="F40" s="14"/>
      <c r="G40" s="15"/>
    </row>
    <row r="41" spans="2:7">
      <c r="B41" s="13"/>
      <c r="C41" s="14"/>
      <c r="D41" s="14"/>
      <c r="E41" s="14"/>
      <c r="F41" s="14"/>
      <c r="G41" s="15"/>
    </row>
    <row r="42" spans="2:7">
      <c r="B42" s="13"/>
      <c r="C42" s="14"/>
      <c r="D42" s="14"/>
      <c r="E42" s="14"/>
      <c r="F42" s="14"/>
      <c r="G42" s="15"/>
    </row>
    <row r="43" spans="2:7">
      <c r="B43" s="16"/>
      <c r="C43" s="17"/>
      <c r="D43" s="17"/>
      <c r="E43" s="17"/>
      <c r="F43" s="17"/>
      <c r="G43" s="18"/>
    </row>
    <row r="45" spans="2:7" ht="15.75">
      <c r="B45" s="98"/>
    </row>
  </sheetData>
  <mergeCells count="4">
    <mergeCell ref="B2:G2"/>
    <mergeCell ref="B3:G3"/>
    <mergeCell ref="C5:D5"/>
    <mergeCell ref="B1:G1"/>
  </mergeCells>
  <phoneticPr fontId="7" type="noConversion"/>
  <printOptions horizontalCentered="1"/>
  <pageMargins left="0.19685039370078741" right="0.19685039370078741" top="0.47244094488188981" bottom="0.15748031496062992" header="0.39370078740157483" footer="0"/>
  <pageSetup scale="97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B1:G45"/>
  <sheetViews>
    <sheetView workbookViewId="0">
      <selection activeCell="B24" sqref="B24:G24"/>
    </sheetView>
  </sheetViews>
  <sheetFormatPr baseColWidth="10" defaultRowHeight="12.75"/>
  <cols>
    <col min="1" max="1" width="3.7109375" customWidth="1"/>
    <col min="2" max="2" width="37" bestFit="1" customWidth="1"/>
    <col min="3" max="6" width="14.85546875" customWidth="1"/>
    <col min="7" max="7" width="35.5703125" customWidth="1"/>
  </cols>
  <sheetData>
    <row r="1" spans="2:7" ht="15.75">
      <c r="B1" s="336" t="s">
        <v>366</v>
      </c>
      <c r="C1" s="336"/>
      <c r="D1" s="336"/>
      <c r="E1" s="336"/>
      <c r="F1" s="336"/>
      <c r="G1" s="336"/>
    </row>
    <row r="2" spans="2:7">
      <c r="B2" s="335" t="s">
        <v>1131</v>
      </c>
      <c r="C2" s="335"/>
      <c r="D2" s="335"/>
      <c r="E2" s="335"/>
      <c r="F2" s="335"/>
      <c r="G2" s="335"/>
    </row>
    <row r="3" spans="2:7">
      <c r="B3" s="335" t="s">
        <v>338</v>
      </c>
      <c r="C3" s="335"/>
      <c r="D3" s="335"/>
      <c r="E3" s="335"/>
      <c r="F3" s="335"/>
      <c r="G3" s="335"/>
    </row>
    <row r="4" spans="2:7" ht="13.5" thickBot="1"/>
    <row r="5" spans="2:7" ht="13.5" thickBot="1">
      <c r="B5" s="438" t="s">
        <v>0</v>
      </c>
      <c r="C5" s="439" t="s">
        <v>210</v>
      </c>
      <c r="D5" s="440"/>
      <c r="E5" s="441" t="s">
        <v>40</v>
      </c>
      <c r="F5" s="441" t="s">
        <v>41</v>
      </c>
      <c r="G5" s="438" t="s">
        <v>238</v>
      </c>
    </row>
    <row r="6" spans="2:7" ht="13.5" thickBot="1">
      <c r="B6" s="442"/>
      <c r="C6" s="443">
        <v>2010</v>
      </c>
      <c r="D6" s="443">
        <v>2011</v>
      </c>
      <c r="E6" s="443">
        <v>2011</v>
      </c>
      <c r="F6" s="443"/>
      <c r="G6" s="444"/>
    </row>
    <row r="8" spans="2:7">
      <c r="B8" s="27"/>
      <c r="C8" s="23"/>
      <c r="D8" s="23"/>
      <c r="E8" s="23"/>
      <c r="F8" s="23"/>
      <c r="G8" s="21"/>
    </row>
    <row r="9" spans="2:7">
      <c r="B9" s="26" t="s">
        <v>300</v>
      </c>
      <c r="C9" s="250">
        <f>VLOOKUP($B9,[1]Mtto.!$A$10:$H$22,7,0)</f>
        <v>42032161.359999999</v>
      </c>
      <c r="D9" s="96">
        <f>SUM('Egresos Reales'!N30)</f>
        <v>48099557.819999993</v>
      </c>
      <c r="E9" s="24">
        <f>SUM('Presupuesto Egresos'!N30)</f>
        <v>49733412.18</v>
      </c>
      <c r="F9" s="96">
        <f>SUM(E9-D9)</f>
        <v>1633854.3600000069</v>
      </c>
      <c r="G9" s="6"/>
    </row>
    <row r="10" spans="2:7">
      <c r="B10" s="19"/>
      <c r="C10" s="250"/>
      <c r="D10" s="24"/>
      <c r="E10" s="24"/>
      <c r="F10" s="24"/>
      <c r="G10" s="6"/>
    </row>
    <row r="11" spans="2:7">
      <c r="B11" s="26" t="s">
        <v>63</v>
      </c>
      <c r="C11" s="250">
        <f>VLOOKUP($B11,[1]Mtto.!$A$10:$H$22,7,0)</f>
        <v>13684919.320000002</v>
      </c>
      <c r="D11" s="96">
        <f>SUM('Egresos Reales'!N31)</f>
        <v>15523126.77</v>
      </c>
      <c r="E11" s="24">
        <f>SUM('Presupuesto Egresos'!N31)</f>
        <v>16099013.970000001</v>
      </c>
      <c r="F11" s="96">
        <f>SUM(E11-D11)</f>
        <v>575887.20000000112</v>
      </c>
      <c r="G11" s="6"/>
    </row>
    <row r="12" spans="2:7">
      <c r="B12" s="19"/>
      <c r="C12" s="250"/>
      <c r="D12" s="24"/>
      <c r="E12" s="24"/>
      <c r="F12" s="24"/>
      <c r="G12" s="6"/>
    </row>
    <row r="13" spans="2:7">
      <c r="B13" s="6" t="s">
        <v>155</v>
      </c>
      <c r="C13" s="250">
        <f>VLOOKUP($B13,[1]Mtto.!$A$10:$H$22,7,0)</f>
        <v>149215.93</v>
      </c>
      <c r="D13" s="96">
        <f>SUM('Egresos Reales'!N32)</f>
        <v>420817.1</v>
      </c>
      <c r="E13" s="24">
        <f>SUM('Presupuesto Egresos'!N32)</f>
        <v>420491.9</v>
      </c>
      <c r="F13" s="96">
        <f>SUM(E13-D13)</f>
        <v>-325.19999999995343</v>
      </c>
      <c r="G13" s="6"/>
    </row>
    <row r="14" spans="2:7">
      <c r="B14" s="19"/>
      <c r="C14" s="250"/>
      <c r="D14" s="96"/>
      <c r="E14" s="24"/>
      <c r="F14" s="96"/>
      <c r="G14" s="6"/>
    </row>
    <row r="15" spans="2:7">
      <c r="B15" s="26" t="s">
        <v>65</v>
      </c>
      <c r="C15" s="250">
        <f>VLOOKUP($B15,[1]Mtto.!$A$10:$H$22,7,0)</f>
        <v>3307089.31</v>
      </c>
      <c r="D15" s="96">
        <f>SUM('Egresos Reales'!N33)</f>
        <v>4113935.24</v>
      </c>
      <c r="E15" s="24">
        <f>SUM('Presupuesto Egresos'!N33)</f>
        <v>4250288.54</v>
      </c>
      <c r="F15" s="96">
        <f>SUM(E15-D15)</f>
        <v>136353.29999999981</v>
      </c>
      <c r="G15" s="6"/>
    </row>
    <row r="16" spans="2:7">
      <c r="B16" s="19"/>
      <c r="C16" s="250"/>
      <c r="D16" s="96"/>
      <c r="E16" s="24"/>
      <c r="F16" s="96"/>
      <c r="G16" s="6"/>
    </row>
    <row r="17" spans="2:7">
      <c r="B17" s="26" t="s">
        <v>64</v>
      </c>
      <c r="C17" s="250">
        <f>VLOOKUP($B17,[1]Mtto.!$A$10:$H$22,7,0)</f>
        <v>310004.27</v>
      </c>
      <c r="D17" s="96">
        <f>SUM('Egresos Reales'!N34)</f>
        <v>523670.41000000003</v>
      </c>
      <c r="E17" s="24">
        <f>SUM('Presupuesto Egresos'!N34)</f>
        <v>35712.579999999958</v>
      </c>
      <c r="F17" s="96">
        <f>SUM(E17-D17)</f>
        <v>-487957.83000000007</v>
      </c>
      <c r="G17" s="6"/>
    </row>
    <row r="18" spans="2:7">
      <c r="B18" s="19"/>
      <c r="C18" s="250"/>
      <c r="D18" s="96"/>
      <c r="E18" s="24"/>
      <c r="F18" s="96"/>
      <c r="G18" s="6"/>
    </row>
    <row r="19" spans="2:7">
      <c r="B19" s="19" t="s">
        <v>167</v>
      </c>
      <c r="C19" s="250">
        <f>VLOOKUP($B19,[1]Mtto.!$A$10:$H$22,7,0)</f>
        <v>0</v>
      </c>
      <c r="D19" s="96">
        <f>SUM('Egresos Reales'!N35)</f>
        <v>0</v>
      </c>
      <c r="E19" s="24">
        <f>SUM('Presupuesto Egresos'!N35)</f>
        <v>0</v>
      </c>
      <c r="F19" s="96">
        <f>SUM(E19-D19)</f>
        <v>0</v>
      </c>
      <c r="G19" s="6"/>
    </row>
    <row r="20" spans="2:7">
      <c r="B20" s="19"/>
      <c r="C20" s="250"/>
      <c r="D20" s="96"/>
      <c r="E20" s="24"/>
      <c r="F20" s="96"/>
      <c r="G20" s="6"/>
    </row>
    <row r="21" spans="2:7">
      <c r="B21" s="6" t="s">
        <v>3</v>
      </c>
      <c r="C21" s="250">
        <f>VLOOKUP($B21,[1]Mtto.!$A$10:$H$22,7,0)</f>
        <v>3728579.0000000005</v>
      </c>
      <c r="D21" s="96">
        <f>SUM('Egresos Reales'!N36)</f>
        <v>3490142.5</v>
      </c>
      <c r="E21" s="24">
        <f>SUM('Presupuesto Egresos'!N36)</f>
        <v>3944017.79</v>
      </c>
      <c r="F21" s="96">
        <f>SUM(E21-D21)</f>
        <v>453875.29000000004</v>
      </c>
      <c r="G21" s="6"/>
    </row>
    <row r="22" spans="2:7">
      <c r="B22" s="28"/>
      <c r="C22" s="25"/>
      <c r="D22" s="25"/>
      <c r="E22" s="25"/>
      <c r="F22" s="25"/>
      <c r="G22" s="6"/>
    </row>
    <row r="23" spans="2:7" ht="13.5" thickBot="1">
      <c r="B23" s="13"/>
      <c r="C23" s="45"/>
      <c r="D23" s="45"/>
      <c r="E23" s="45"/>
      <c r="F23" s="45"/>
      <c r="G23" s="6"/>
    </row>
    <row r="24" spans="2:7" ht="24" customHeight="1" thickBot="1">
      <c r="B24" s="426" t="s">
        <v>4</v>
      </c>
      <c r="C24" s="427">
        <f>SUM(C8:C22)</f>
        <v>63211969.190000005</v>
      </c>
      <c r="D24" s="452">
        <f>SUM(D8:D22)</f>
        <v>72171249.839999989</v>
      </c>
      <c r="E24" s="427">
        <f>SUM(E8:E22)</f>
        <v>74482936.960000008</v>
      </c>
      <c r="F24" s="452">
        <f>SUM(F8:F22)</f>
        <v>2311687.1200000076</v>
      </c>
      <c r="G24" s="457"/>
    </row>
    <row r="25" spans="2:7">
      <c r="B25" s="13"/>
      <c r="C25" s="14"/>
      <c r="D25" s="14"/>
      <c r="E25" s="14"/>
      <c r="F25" s="14"/>
      <c r="G25" s="15"/>
    </row>
    <row r="26" spans="2:7">
      <c r="B26" s="13"/>
      <c r="C26" s="14"/>
      <c r="D26" s="14"/>
      <c r="E26" s="14"/>
      <c r="F26" s="14"/>
      <c r="G26" s="15"/>
    </row>
    <row r="27" spans="2:7">
      <c r="B27" s="13"/>
      <c r="C27" s="14"/>
      <c r="D27" s="14"/>
      <c r="E27" s="14"/>
      <c r="F27" s="14"/>
      <c r="G27" s="15"/>
    </row>
    <row r="28" spans="2:7">
      <c r="B28" s="13"/>
      <c r="C28" s="14"/>
      <c r="D28" s="14"/>
      <c r="E28" s="14"/>
      <c r="F28" s="14"/>
      <c r="G28" s="15"/>
    </row>
    <row r="29" spans="2:7">
      <c r="B29" s="13"/>
      <c r="C29" s="14"/>
      <c r="D29" s="14"/>
      <c r="E29" s="14"/>
      <c r="F29" s="14"/>
      <c r="G29" s="15"/>
    </row>
    <row r="30" spans="2:7">
      <c r="B30" s="13"/>
      <c r="C30" s="14"/>
      <c r="D30" s="14"/>
      <c r="E30" s="14"/>
      <c r="F30" s="14"/>
      <c r="G30" s="15"/>
    </row>
    <row r="31" spans="2:7">
      <c r="B31" s="13"/>
      <c r="C31" s="14"/>
      <c r="D31" s="14"/>
      <c r="E31" s="14"/>
      <c r="F31" s="14"/>
      <c r="G31" s="15"/>
    </row>
    <row r="32" spans="2:7">
      <c r="B32" s="13"/>
      <c r="C32" s="14"/>
      <c r="D32" s="14"/>
      <c r="E32" s="14"/>
      <c r="F32" s="14"/>
      <c r="G32" s="15"/>
    </row>
    <row r="33" spans="2:7">
      <c r="B33" s="13"/>
      <c r="C33" s="14"/>
      <c r="D33" s="14"/>
      <c r="E33" s="14"/>
      <c r="F33" s="14"/>
      <c r="G33" s="15"/>
    </row>
    <row r="34" spans="2:7">
      <c r="B34" s="13"/>
      <c r="C34" s="14"/>
      <c r="D34" s="14"/>
      <c r="E34" s="14"/>
      <c r="F34" s="14"/>
      <c r="G34" s="15"/>
    </row>
    <row r="35" spans="2:7">
      <c r="B35" s="13"/>
      <c r="C35" s="14"/>
      <c r="D35" s="14"/>
      <c r="E35" s="14"/>
      <c r="F35" s="14"/>
      <c r="G35" s="15"/>
    </row>
    <row r="36" spans="2:7">
      <c r="B36" s="13"/>
      <c r="C36" s="14"/>
      <c r="D36" s="14"/>
      <c r="E36" s="14"/>
      <c r="F36" s="14"/>
      <c r="G36" s="15"/>
    </row>
    <row r="37" spans="2:7">
      <c r="B37" s="13"/>
      <c r="C37" s="14"/>
      <c r="D37" s="14"/>
      <c r="E37" s="14"/>
      <c r="F37" s="14"/>
      <c r="G37" s="15"/>
    </row>
    <row r="38" spans="2:7">
      <c r="B38" s="13"/>
      <c r="C38" s="14"/>
      <c r="D38" s="14"/>
      <c r="E38" s="14"/>
      <c r="F38" s="14"/>
      <c r="G38" s="15"/>
    </row>
    <row r="39" spans="2:7">
      <c r="B39" s="13"/>
      <c r="C39" s="14"/>
      <c r="D39" s="14"/>
      <c r="E39" s="14"/>
      <c r="F39" s="14"/>
      <c r="G39" s="15"/>
    </row>
    <row r="40" spans="2:7">
      <c r="B40" s="13"/>
      <c r="C40" s="14"/>
      <c r="D40" s="14"/>
      <c r="E40" s="14"/>
      <c r="F40" s="14"/>
      <c r="G40" s="15"/>
    </row>
    <row r="41" spans="2:7">
      <c r="B41" s="13"/>
      <c r="C41" s="14"/>
      <c r="D41" s="14"/>
      <c r="E41" s="14"/>
      <c r="F41" s="14"/>
      <c r="G41" s="15"/>
    </row>
    <row r="42" spans="2:7">
      <c r="B42" s="13"/>
      <c r="C42" s="14"/>
      <c r="D42" s="14"/>
      <c r="E42" s="14"/>
      <c r="F42" s="14"/>
      <c r="G42" s="15"/>
    </row>
    <row r="43" spans="2:7">
      <c r="B43" s="16"/>
      <c r="C43" s="17"/>
      <c r="D43" s="17"/>
      <c r="E43" s="17"/>
      <c r="F43" s="17"/>
      <c r="G43" s="18"/>
    </row>
    <row r="45" spans="2:7" ht="15.75">
      <c r="B45" s="98"/>
    </row>
  </sheetData>
  <mergeCells count="4">
    <mergeCell ref="B2:G2"/>
    <mergeCell ref="B3:G3"/>
    <mergeCell ref="C5:D5"/>
    <mergeCell ref="B1:G1"/>
  </mergeCells>
  <phoneticPr fontId="7" type="noConversion"/>
  <printOptions horizontalCentered="1"/>
  <pageMargins left="0.17" right="0.39370078740157483" top="0.52" bottom="0.17" header="0" footer="0"/>
  <pageSetup scale="93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4"/>
  <sheetViews>
    <sheetView workbookViewId="0">
      <selection activeCell="B5" sqref="B5:G6"/>
    </sheetView>
  </sheetViews>
  <sheetFormatPr baseColWidth="10" defaultRowHeight="12.75"/>
  <cols>
    <col min="1" max="1" width="3.7109375" customWidth="1"/>
    <col min="2" max="2" width="37" bestFit="1" customWidth="1"/>
    <col min="3" max="6" width="14.85546875" customWidth="1"/>
    <col min="7" max="7" width="34" customWidth="1"/>
  </cols>
  <sheetData>
    <row r="1" spans="2:7" ht="15.75">
      <c r="B1" s="336" t="s">
        <v>366</v>
      </c>
      <c r="C1" s="336"/>
      <c r="D1" s="336"/>
      <c r="E1" s="336"/>
      <c r="F1" s="336"/>
      <c r="G1" s="336"/>
    </row>
    <row r="2" spans="2:7">
      <c r="B2" s="335" t="s">
        <v>1131</v>
      </c>
      <c r="C2" s="335"/>
      <c r="D2" s="335"/>
      <c r="E2" s="335"/>
      <c r="F2" s="335"/>
      <c r="G2" s="335"/>
    </row>
    <row r="3" spans="2:7">
      <c r="B3" s="335" t="s">
        <v>73</v>
      </c>
      <c r="C3" s="335"/>
      <c r="D3" s="335"/>
      <c r="E3" s="335"/>
      <c r="F3" s="335"/>
      <c r="G3" s="335"/>
    </row>
    <row r="4" spans="2:7" ht="13.5" thickBot="1"/>
    <row r="5" spans="2:7" ht="13.5" thickBot="1">
      <c r="B5" s="438" t="s">
        <v>0</v>
      </c>
      <c r="C5" s="439" t="s">
        <v>210</v>
      </c>
      <c r="D5" s="440"/>
      <c r="E5" s="441" t="s">
        <v>40</v>
      </c>
      <c r="F5" s="441" t="s">
        <v>41</v>
      </c>
      <c r="G5" s="438" t="s">
        <v>238</v>
      </c>
    </row>
    <row r="6" spans="2:7" ht="13.5" thickBot="1">
      <c r="B6" s="442"/>
      <c r="C6" s="443">
        <v>2010</v>
      </c>
      <c r="D6" s="443">
        <v>2011</v>
      </c>
      <c r="E6" s="443">
        <v>2011</v>
      </c>
      <c r="F6" s="443"/>
      <c r="G6" s="444"/>
    </row>
    <row r="8" spans="2:7">
      <c r="B8" s="5"/>
      <c r="C8" s="23"/>
      <c r="D8" s="23"/>
      <c r="E8" s="23"/>
      <c r="F8" s="23"/>
      <c r="G8" s="21"/>
    </row>
    <row r="9" spans="2:7">
      <c r="B9" s="26" t="s">
        <v>66</v>
      </c>
      <c r="C9" s="250">
        <f>VLOOKUP($B9,[1]Adquisiciones!$A$10:$H$12,7,0)</f>
        <v>5707664.9699999997</v>
      </c>
      <c r="D9" s="96">
        <f>SUM('Egresos Reales'!N39)</f>
        <v>6947388.1399999987</v>
      </c>
      <c r="E9" s="24">
        <f>SUM('Presupuesto Egresos'!N39)</f>
        <v>6550410.1699999999</v>
      </c>
      <c r="F9" s="96">
        <f>SUM(E9-D9)</f>
        <v>-396977.96999999881</v>
      </c>
      <c r="G9" s="6"/>
    </row>
    <row r="10" spans="2:7">
      <c r="B10" s="19"/>
      <c r="C10" s="250"/>
      <c r="D10" s="24"/>
      <c r="E10" s="24"/>
      <c r="F10" s="24"/>
      <c r="G10" s="6"/>
    </row>
    <row r="11" spans="2:7">
      <c r="B11" s="26" t="s">
        <v>67</v>
      </c>
      <c r="C11" s="250">
        <f>VLOOKUP($B11,[1]Adquisiciones!$A$10:$H$12,7,0)</f>
        <v>501528</v>
      </c>
      <c r="D11" s="96">
        <f>SUM('Egresos Reales'!N40)</f>
        <v>1150000</v>
      </c>
      <c r="E11" s="24">
        <f>SUM('Presupuesto Egresos'!N40)</f>
        <v>1150000</v>
      </c>
      <c r="F11" s="96">
        <f>SUM(E11-D11)</f>
        <v>0</v>
      </c>
      <c r="G11" s="6"/>
    </row>
    <row r="12" spans="2:7">
      <c r="B12" s="7"/>
      <c r="C12" s="25"/>
      <c r="D12" s="25"/>
      <c r="E12" s="25"/>
      <c r="F12" s="25"/>
      <c r="G12" s="6"/>
    </row>
    <row r="13" spans="2:7" ht="13.5" thickBot="1">
      <c r="B13" s="13"/>
      <c r="C13" s="45"/>
      <c r="D13" s="45"/>
      <c r="E13" s="45"/>
      <c r="F13" s="45"/>
      <c r="G13" s="6"/>
    </row>
    <row r="14" spans="2:7" ht="26.25" customHeight="1" thickBot="1">
      <c r="B14" s="426" t="s">
        <v>4</v>
      </c>
      <c r="C14" s="427">
        <f>SUM(C8:C12)</f>
        <v>6209192.9699999997</v>
      </c>
      <c r="D14" s="452">
        <f>SUM(D8:D12)</f>
        <v>8097388.1399999987</v>
      </c>
      <c r="E14" s="427">
        <f>SUM(E8:E12)</f>
        <v>7700410.1699999999</v>
      </c>
      <c r="F14" s="452">
        <f>SUM(F8:F12)</f>
        <v>-396977.96999999881</v>
      </c>
      <c r="G14" s="457"/>
    </row>
    <row r="15" spans="2:7">
      <c r="B15" s="13"/>
      <c r="C15" s="14"/>
      <c r="D15" s="14"/>
      <c r="E15" s="14"/>
      <c r="F15" s="14"/>
      <c r="G15" s="15"/>
    </row>
    <row r="16" spans="2:7">
      <c r="B16" s="13"/>
      <c r="C16" s="14"/>
      <c r="D16" s="14"/>
      <c r="E16" s="14"/>
      <c r="F16" s="14"/>
      <c r="G16" s="15"/>
    </row>
    <row r="17" spans="2:7">
      <c r="B17" s="13"/>
      <c r="C17" s="14"/>
      <c r="D17" s="14"/>
      <c r="E17" s="14"/>
      <c r="F17" s="14"/>
      <c r="G17" s="15"/>
    </row>
    <row r="18" spans="2:7">
      <c r="B18" s="13"/>
      <c r="C18" s="14"/>
      <c r="D18" s="14"/>
      <c r="E18" s="14"/>
      <c r="F18" s="14"/>
      <c r="G18" s="15"/>
    </row>
    <row r="19" spans="2:7">
      <c r="B19" s="13"/>
      <c r="C19" s="14"/>
      <c r="D19" s="14"/>
      <c r="E19" s="14"/>
      <c r="F19" s="14"/>
      <c r="G19" s="15"/>
    </row>
    <row r="20" spans="2:7">
      <c r="B20" s="13"/>
      <c r="C20" s="14"/>
      <c r="D20" s="14"/>
      <c r="E20" s="14"/>
      <c r="F20" s="14"/>
      <c r="G20" s="15"/>
    </row>
    <row r="21" spans="2:7">
      <c r="B21" s="13"/>
      <c r="C21" s="14"/>
      <c r="D21" s="14"/>
      <c r="E21" s="14"/>
      <c r="F21" s="14"/>
      <c r="G21" s="15"/>
    </row>
    <row r="22" spans="2:7">
      <c r="B22" s="13"/>
      <c r="C22" s="14"/>
      <c r="D22" s="14"/>
      <c r="E22" s="14"/>
      <c r="F22" s="14"/>
      <c r="G22" s="15"/>
    </row>
    <row r="23" spans="2:7">
      <c r="B23" s="13"/>
      <c r="C23" s="14"/>
      <c r="D23" s="14"/>
      <c r="E23" s="14"/>
      <c r="F23" s="14"/>
      <c r="G23" s="15"/>
    </row>
    <row r="24" spans="2:7">
      <c r="B24" s="13"/>
      <c r="C24" s="14"/>
      <c r="D24" s="14"/>
      <c r="E24" s="14"/>
      <c r="F24" s="14"/>
      <c r="G24" s="15"/>
    </row>
    <row r="25" spans="2:7">
      <c r="B25" s="13"/>
      <c r="C25" s="14"/>
      <c r="D25" s="14"/>
      <c r="E25" s="14"/>
      <c r="F25" s="14"/>
      <c r="G25" s="15"/>
    </row>
    <row r="26" spans="2:7">
      <c r="B26" s="13"/>
      <c r="C26" s="14"/>
      <c r="D26" s="14"/>
      <c r="E26" s="14"/>
      <c r="F26" s="14"/>
      <c r="G26" s="15"/>
    </row>
    <row r="27" spans="2:7">
      <c r="B27" s="13"/>
      <c r="C27" s="14"/>
      <c r="D27" s="14"/>
      <c r="E27" s="14"/>
      <c r="F27" s="14"/>
      <c r="G27" s="15"/>
    </row>
    <row r="28" spans="2:7">
      <c r="B28" s="13"/>
      <c r="C28" s="14"/>
      <c r="D28" s="14"/>
      <c r="E28" s="14"/>
      <c r="F28" s="14"/>
      <c r="G28" s="15"/>
    </row>
    <row r="29" spans="2:7">
      <c r="B29" s="13"/>
      <c r="C29" s="14"/>
      <c r="D29" s="14"/>
      <c r="E29" s="14"/>
      <c r="F29" s="14"/>
      <c r="G29" s="15"/>
    </row>
    <row r="30" spans="2:7">
      <c r="B30" s="13"/>
      <c r="C30" s="14"/>
      <c r="D30" s="14"/>
      <c r="E30" s="14"/>
      <c r="F30" s="14"/>
      <c r="G30" s="15"/>
    </row>
    <row r="31" spans="2:7">
      <c r="B31" s="13"/>
      <c r="C31" s="14"/>
      <c r="D31" s="14"/>
      <c r="E31" s="14"/>
      <c r="F31" s="14"/>
      <c r="G31" s="15"/>
    </row>
    <row r="32" spans="2:7">
      <c r="B32" s="13"/>
      <c r="C32" s="14"/>
      <c r="D32" s="14"/>
      <c r="E32" s="14"/>
      <c r="F32" s="14"/>
      <c r="G32" s="15"/>
    </row>
    <row r="33" spans="2:7">
      <c r="B33" s="13"/>
      <c r="C33" s="14"/>
      <c r="D33" s="14"/>
      <c r="E33" s="14"/>
      <c r="F33" s="14"/>
      <c r="G33" s="15"/>
    </row>
    <row r="34" spans="2:7">
      <c r="B34" s="13"/>
      <c r="C34" s="14"/>
      <c r="D34" s="14"/>
      <c r="E34" s="14"/>
      <c r="F34" s="14"/>
      <c r="G34" s="15"/>
    </row>
    <row r="35" spans="2:7">
      <c r="B35" s="13"/>
      <c r="C35" s="14"/>
      <c r="D35" s="14"/>
      <c r="E35" s="14"/>
      <c r="F35" s="14"/>
      <c r="G35" s="15"/>
    </row>
    <row r="36" spans="2:7">
      <c r="B36" s="13"/>
      <c r="C36" s="14"/>
      <c r="D36" s="14"/>
      <c r="E36" s="14"/>
      <c r="F36" s="14"/>
      <c r="G36" s="15"/>
    </row>
    <row r="37" spans="2:7">
      <c r="B37" s="13"/>
      <c r="C37" s="14"/>
      <c r="D37" s="14"/>
      <c r="E37" s="14"/>
      <c r="F37" s="14"/>
      <c r="G37" s="15"/>
    </row>
    <row r="38" spans="2:7">
      <c r="B38" s="13"/>
      <c r="C38" s="14"/>
      <c r="D38" s="14"/>
      <c r="E38" s="14"/>
      <c r="F38" s="14"/>
      <c r="G38" s="15"/>
    </row>
    <row r="39" spans="2:7">
      <c r="B39" s="13"/>
      <c r="C39" s="14"/>
      <c r="D39" s="14"/>
      <c r="E39" s="14"/>
      <c r="F39" s="14"/>
      <c r="G39" s="15"/>
    </row>
    <row r="40" spans="2:7">
      <c r="B40" s="13"/>
      <c r="C40" s="14"/>
      <c r="D40" s="14"/>
      <c r="E40" s="14"/>
      <c r="F40" s="14"/>
      <c r="G40" s="15"/>
    </row>
    <row r="41" spans="2:7">
      <c r="B41" s="13"/>
      <c r="C41" s="14"/>
      <c r="D41" s="14"/>
      <c r="E41" s="14"/>
      <c r="F41" s="14"/>
      <c r="G41" s="15"/>
    </row>
    <row r="42" spans="2:7">
      <c r="B42" s="16"/>
      <c r="C42" s="17"/>
      <c r="D42" s="17"/>
      <c r="E42" s="17"/>
      <c r="F42" s="17"/>
      <c r="G42" s="18"/>
    </row>
    <row r="44" spans="2:7" ht="15.75">
      <c r="B44" s="98"/>
    </row>
  </sheetData>
  <mergeCells count="4">
    <mergeCell ref="B2:G2"/>
    <mergeCell ref="B3:G3"/>
    <mergeCell ref="C5:D5"/>
    <mergeCell ref="B1:G1"/>
  </mergeCells>
  <phoneticPr fontId="7" type="noConversion"/>
  <printOptions horizontalCentered="1"/>
  <pageMargins left="0.18" right="0.2" top="0.25" bottom="0.19" header="0" footer="0"/>
  <pageSetup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5" sqref="B5:G6"/>
    </sheetView>
  </sheetViews>
  <sheetFormatPr baseColWidth="10" defaultRowHeight="12.75"/>
  <cols>
    <col min="1" max="1" width="4.28515625" customWidth="1"/>
    <col min="2" max="2" width="37" bestFit="1" customWidth="1"/>
    <col min="3" max="6" width="14.85546875" customWidth="1"/>
    <col min="7" max="7" width="33.7109375" customWidth="1"/>
  </cols>
  <sheetData>
    <row r="1" spans="2:7" ht="15.75">
      <c r="B1" s="336" t="s">
        <v>366</v>
      </c>
      <c r="C1" s="336"/>
      <c r="D1" s="336"/>
      <c r="E1" s="336"/>
      <c r="F1" s="336"/>
      <c r="G1" s="336"/>
    </row>
    <row r="2" spans="2:7">
      <c r="B2" s="335" t="s">
        <v>1131</v>
      </c>
      <c r="C2" s="335"/>
      <c r="D2" s="335"/>
      <c r="E2" s="335"/>
      <c r="F2" s="335"/>
      <c r="G2" s="335"/>
    </row>
    <row r="3" spans="2:7">
      <c r="B3" s="335" t="s">
        <v>339</v>
      </c>
      <c r="C3" s="335"/>
      <c r="D3" s="335"/>
      <c r="E3" s="335"/>
      <c r="F3" s="335"/>
      <c r="G3" s="335"/>
    </row>
    <row r="4" spans="2:7" ht="13.5" thickBot="1"/>
    <row r="5" spans="2:7" ht="13.5" thickBot="1">
      <c r="B5" s="447" t="s">
        <v>0</v>
      </c>
      <c r="C5" s="555" t="s">
        <v>210</v>
      </c>
      <c r="D5" s="556"/>
      <c r="E5" s="557" t="s">
        <v>40</v>
      </c>
      <c r="F5" s="557" t="s">
        <v>41</v>
      </c>
      <c r="G5" s="447" t="s">
        <v>238</v>
      </c>
    </row>
    <row r="6" spans="2:7" ht="13.5" thickBot="1">
      <c r="B6" s="448"/>
      <c r="C6" s="558">
        <v>2010</v>
      </c>
      <c r="D6" s="558">
        <v>2011</v>
      </c>
      <c r="E6" s="558">
        <v>2011</v>
      </c>
      <c r="F6" s="558"/>
      <c r="G6" s="559"/>
    </row>
    <row r="8" spans="2:7">
      <c r="B8" s="5"/>
      <c r="C8" s="23"/>
      <c r="D8" s="23"/>
      <c r="E8" s="23"/>
      <c r="F8" s="23"/>
      <c r="G8" s="21"/>
    </row>
    <row r="9" spans="2:7">
      <c r="B9" s="26" t="s">
        <v>68</v>
      </c>
      <c r="C9" s="250">
        <f>VLOOKUP($B9,'[1]Des. Urb'!$A$10:$H$16,7,0)</f>
        <v>45050064.210000008</v>
      </c>
      <c r="D9" s="96">
        <f>SUM('Egresos Reales'!N43)</f>
        <v>72852197.330000013</v>
      </c>
      <c r="E9" s="24">
        <f>SUM('Presupuesto Egresos'!N43)</f>
        <v>67085869.260000005</v>
      </c>
      <c r="F9" s="96">
        <f>SUM(E9-D9)</f>
        <v>-5766328.0700000077</v>
      </c>
      <c r="G9" s="6"/>
    </row>
    <row r="10" spans="2:7">
      <c r="B10" s="6"/>
      <c r="C10" s="250"/>
      <c r="D10" s="24"/>
      <c r="E10" s="24"/>
      <c r="F10" s="24"/>
      <c r="G10" s="6"/>
    </row>
    <row r="11" spans="2:7">
      <c r="B11" s="26" t="s">
        <v>487</v>
      </c>
      <c r="C11" s="250">
        <f>VLOOKUP($B11,'[1]Des. Urb'!$A$10:$H$16,7,0)</f>
        <v>95832452.480000004</v>
      </c>
      <c r="D11" s="96">
        <f>SUM('Egresos Reales'!N44)</f>
        <v>171207454.33000001</v>
      </c>
      <c r="E11" s="24">
        <f>SUM('Presupuesto Egresos'!N44)</f>
        <v>198855080.90000001</v>
      </c>
      <c r="F11" s="96">
        <f>SUM(E11-D11)</f>
        <v>27647626.569999993</v>
      </c>
      <c r="G11" s="6"/>
    </row>
    <row r="12" spans="2:7">
      <c r="B12" s="6"/>
      <c r="C12" s="250"/>
      <c r="D12" s="24"/>
      <c r="E12" s="24"/>
      <c r="F12" s="24"/>
      <c r="G12" s="6"/>
    </row>
    <row r="13" spans="2:7">
      <c r="B13" s="26" t="s">
        <v>191</v>
      </c>
      <c r="C13" s="250">
        <f>VLOOKUP($B13,'[1]Des. Urb'!$A$10:$H$16,7,0)</f>
        <v>0</v>
      </c>
      <c r="D13" s="96">
        <f>SUM('Egresos Reales'!N45)</f>
        <v>0</v>
      </c>
      <c r="E13" s="24">
        <f>SUM('Presupuesto Egresos'!N45)</f>
        <v>0</v>
      </c>
      <c r="F13" s="96">
        <f>SUM(E13-D13)</f>
        <v>0</v>
      </c>
      <c r="G13" s="6"/>
    </row>
    <row r="14" spans="2:7">
      <c r="B14" s="6"/>
      <c r="C14" s="250"/>
      <c r="D14" s="96"/>
      <c r="E14" s="24"/>
      <c r="F14" s="96"/>
      <c r="G14" s="6"/>
    </row>
    <row r="15" spans="2:7">
      <c r="B15" s="19" t="s">
        <v>69</v>
      </c>
      <c r="C15" s="250">
        <f>VLOOKUP($B15,'[1]Des. Urb'!$A$10:$H$16,7,0)</f>
        <v>0</v>
      </c>
      <c r="D15" s="96">
        <f>SUM('Egresos Reales'!N46)</f>
        <v>0</v>
      </c>
      <c r="E15" s="24">
        <f>SUM('Presupuesto Egresos'!N46)</f>
        <v>0</v>
      </c>
      <c r="F15" s="96">
        <f>SUM(E15-D15)</f>
        <v>0</v>
      </c>
      <c r="G15" s="6"/>
    </row>
    <row r="16" spans="2:7">
      <c r="B16" s="7"/>
      <c r="C16" s="25"/>
      <c r="D16" s="25"/>
      <c r="E16" s="25"/>
      <c r="F16" s="25"/>
      <c r="G16" s="6"/>
    </row>
    <row r="17" spans="2:7" ht="13.5" thickBot="1">
      <c r="B17" s="13"/>
      <c r="C17" s="45"/>
      <c r="D17" s="45"/>
      <c r="E17" s="45"/>
      <c r="F17" s="45"/>
      <c r="G17" s="6"/>
    </row>
    <row r="18" spans="2:7" ht="24.75" customHeight="1" thickBot="1">
      <c r="B18" s="426" t="s">
        <v>4</v>
      </c>
      <c r="C18" s="427">
        <f>SUM(C8:C16)</f>
        <v>140882516.69</v>
      </c>
      <c r="D18" s="452">
        <f>SUM(D8:D16)</f>
        <v>244059651.66000003</v>
      </c>
      <c r="E18" s="427">
        <f>SUM(E8:E16)</f>
        <v>265940950.16000003</v>
      </c>
      <c r="F18" s="452">
        <f>SUM(F8:F16)</f>
        <v>21881298.499999985</v>
      </c>
      <c r="G18" s="457"/>
    </row>
    <row r="19" spans="2:7">
      <c r="B19" s="13"/>
      <c r="C19" s="14"/>
      <c r="D19" s="14"/>
      <c r="E19" s="14"/>
      <c r="F19" s="14"/>
      <c r="G19" s="15"/>
    </row>
    <row r="20" spans="2:7">
      <c r="B20" s="13"/>
      <c r="C20" s="14"/>
      <c r="D20" s="14"/>
      <c r="E20" s="14"/>
      <c r="F20" s="14"/>
      <c r="G20" s="15"/>
    </row>
    <row r="21" spans="2:7">
      <c r="B21" s="13"/>
      <c r="C21" s="14"/>
      <c r="D21" s="14"/>
      <c r="E21" s="14"/>
      <c r="F21" s="14"/>
      <c r="G21" s="15"/>
    </row>
    <row r="22" spans="2:7">
      <c r="B22" s="13"/>
      <c r="C22" s="14"/>
      <c r="D22" s="14"/>
      <c r="E22" s="14"/>
      <c r="F22" s="14"/>
      <c r="G22" s="15"/>
    </row>
    <row r="23" spans="2:7">
      <c r="B23" s="13"/>
      <c r="C23" s="14"/>
      <c r="D23" s="14"/>
      <c r="E23" s="14"/>
      <c r="F23" s="14"/>
      <c r="G23" s="15"/>
    </row>
    <row r="24" spans="2:7">
      <c r="B24" s="13"/>
      <c r="C24" s="14"/>
      <c r="D24" s="14"/>
      <c r="E24" s="14"/>
      <c r="F24" s="14"/>
      <c r="G24" s="15"/>
    </row>
    <row r="25" spans="2:7">
      <c r="B25" s="13"/>
      <c r="C25" s="14"/>
      <c r="D25" s="14"/>
      <c r="E25" s="14"/>
      <c r="F25" s="14"/>
      <c r="G25" s="15"/>
    </row>
    <row r="26" spans="2:7">
      <c r="B26" s="13"/>
      <c r="C26" s="14"/>
      <c r="D26" s="14"/>
      <c r="E26" s="14"/>
      <c r="F26" s="14"/>
      <c r="G26" s="15"/>
    </row>
    <row r="27" spans="2:7">
      <c r="B27" s="13"/>
      <c r="C27" s="14"/>
      <c r="D27" s="14"/>
      <c r="E27" s="14"/>
      <c r="F27" s="14"/>
      <c r="G27" s="15"/>
    </row>
    <row r="28" spans="2:7">
      <c r="B28" s="13"/>
      <c r="C28" s="14"/>
      <c r="D28" s="14"/>
      <c r="E28" s="14"/>
      <c r="F28" s="14"/>
      <c r="G28" s="15"/>
    </row>
    <row r="29" spans="2:7">
      <c r="B29" s="13"/>
      <c r="C29" s="14"/>
      <c r="D29" s="14"/>
      <c r="E29" s="14"/>
      <c r="F29" s="14"/>
      <c r="G29" s="15"/>
    </row>
    <row r="30" spans="2:7">
      <c r="B30" s="13"/>
      <c r="C30" s="14"/>
      <c r="D30" s="14"/>
      <c r="E30" s="14"/>
      <c r="F30" s="14"/>
      <c r="G30" s="15"/>
    </row>
    <row r="31" spans="2:7">
      <c r="B31" s="13"/>
      <c r="C31" s="14"/>
      <c r="D31" s="14"/>
      <c r="E31" s="14"/>
      <c r="F31" s="14"/>
      <c r="G31" s="15"/>
    </row>
    <row r="32" spans="2:7">
      <c r="B32" s="13"/>
      <c r="C32" s="14"/>
      <c r="D32" s="14"/>
      <c r="E32" s="14"/>
      <c r="F32" s="14"/>
      <c r="G32" s="15"/>
    </row>
    <row r="33" spans="2:7">
      <c r="B33" s="13"/>
      <c r="C33" s="14"/>
      <c r="D33" s="14"/>
      <c r="E33" s="14"/>
      <c r="F33" s="14"/>
      <c r="G33" s="15"/>
    </row>
    <row r="34" spans="2:7">
      <c r="B34" s="13"/>
      <c r="C34" s="14"/>
      <c r="D34" s="14"/>
      <c r="E34" s="14"/>
      <c r="F34" s="14"/>
      <c r="G34" s="15"/>
    </row>
    <row r="35" spans="2:7">
      <c r="B35" s="13"/>
      <c r="C35" s="14"/>
      <c r="D35" s="14"/>
      <c r="E35" s="14"/>
      <c r="F35" s="14"/>
      <c r="G35" s="15"/>
    </row>
    <row r="36" spans="2:7">
      <c r="B36" s="13"/>
      <c r="C36" s="14"/>
      <c r="D36" s="14"/>
      <c r="E36" s="14"/>
      <c r="F36" s="14"/>
      <c r="G36" s="15"/>
    </row>
    <row r="37" spans="2:7">
      <c r="B37" s="13"/>
      <c r="C37" s="14"/>
      <c r="D37" s="14"/>
      <c r="E37" s="14"/>
      <c r="F37" s="14"/>
      <c r="G37" s="15"/>
    </row>
    <row r="38" spans="2:7">
      <c r="B38" s="13"/>
      <c r="C38" s="14"/>
      <c r="D38" s="14"/>
      <c r="E38" s="14"/>
      <c r="F38" s="14"/>
      <c r="G38" s="15"/>
    </row>
    <row r="39" spans="2:7">
      <c r="B39" s="13"/>
      <c r="C39" s="14"/>
      <c r="D39" s="14"/>
      <c r="E39" s="14"/>
      <c r="F39" s="14"/>
      <c r="G39" s="15"/>
    </row>
    <row r="40" spans="2:7">
      <c r="B40" s="13"/>
      <c r="C40" s="14"/>
      <c r="D40" s="14"/>
      <c r="E40" s="14"/>
      <c r="F40" s="14"/>
      <c r="G40" s="15"/>
    </row>
    <row r="41" spans="2:7">
      <c r="B41" s="16"/>
      <c r="C41" s="17"/>
      <c r="D41" s="17"/>
      <c r="E41" s="17"/>
      <c r="F41" s="17"/>
      <c r="G41" s="18"/>
    </row>
    <row r="43" spans="2:7" ht="15.75">
      <c r="B43" s="98"/>
    </row>
  </sheetData>
  <mergeCells count="4">
    <mergeCell ref="B2:G2"/>
    <mergeCell ref="B3:G3"/>
    <mergeCell ref="C5:D5"/>
    <mergeCell ref="B1:G1"/>
  </mergeCells>
  <phoneticPr fontId="7" type="noConversion"/>
  <printOptions horizontalCentered="1"/>
  <pageMargins left="0.18" right="0.17" top="0.57999999999999996" bottom="0.21" header="0" footer="0"/>
  <pageSetup scale="98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B1:G41"/>
  <sheetViews>
    <sheetView topLeftCell="A3" workbookViewId="0">
      <selection activeCell="B5" sqref="B5:G6"/>
    </sheetView>
  </sheetViews>
  <sheetFormatPr baseColWidth="10" defaultRowHeight="12.75"/>
  <cols>
    <col min="1" max="1" width="2.7109375" customWidth="1"/>
    <col min="2" max="2" width="30.42578125" customWidth="1"/>
    <col min="3" max="6" width="14.85546875" customWidth="1"/>
    <col min="7" max="7" width="43.140625" customWidth="1"/>
  </cols>
  <sheetData>
    <row r="1" spans="2:7" ht="15.75">
      <c r="B1" s="336" t="s">
        <v>366</v>
      </c>
      <c r="C1" s="336"/>
      <c r="D1" s="336"/>
      <c r="E1" s="336"/>
      <c r="F1" s="336"/>
      <c r="G1" s="336"/>
    </row>
    <row r="2" spans="2:7">
      <c r="B2" s="335" t="s">
        <v>1131</v>
      </c>
      <c r="C2" s="335"/>
      <c r="D2" s="335"/>
      <c r="E2" s="335"/>
      <c r="F2" s="335"/>
      <c r="G2" s="335"/>
    </row>
    <row r="3" spans="2:7">
      <c r="B3" s="335" t="s">
        <v>74</v>
      </c>
      <c r="C3" s="335"/>
      <c r="D3" s="335"/>
      <c r="E3" s="335"/>
      <c r="F3" s="335"/>
      <c r="G3" s="335"/>
    </row>
    <row r="4" spans="2:7" ht="13.5" thickBot="1"/>
    <row r="5" spans="2:7" ht="13.5" thickBot="1">
      <c r="B5" s="447" t="s">
        <v>0</v>
      </c>
      <c r="C5" s="555" t="s">
        <v>210</v>
      </c>
      <c r="D5" s="556"/>
      <c r="E5" s="557" t="s">
        <v>40</v>
      </c>
      <c r="F5" s="557" t="s">
        <v>41</v>
      </c>
      <c r="G5" s="447" t="s">
        <v>238</v>
      </c>
    </row>
    <row r="6" spans="2:7" ht="13.5" thickBot="1">
      <c r="B6" s="448"/>
      <c r="C6" s="558">
        <v>2010</v>
      </c>
      <c r="D6" s="558">
        <v>2011</v>
      </c>
      <c r="E6" s="558">
        <v>2011</v>
      </c>
      <c r="F6" s="558"/>
      <c r="G6" s="559"/>
    </row>
    <row r="8" spans="2:7">
      <c r="B8" s="5"/>
      <c r="C8" s="23"/>
      <c r="D8" s="23"/>
      <c r="E8" s="23"/>
      <c r="F8" s="23"/>
      <c r="G8" s="21"/>
    </row>
    <row r="9" spans="2:7">
      <c r="B9" s="26" t="s">
        <v>301</v>
      </c>
      <c r="C9" s="250">
        <f>VLOOKUP($B9,'[1]FISM Egresos'!$A$10:$I$30,7,0)</f>
        <v>0</v>
      </c>
      <c r="D9" s="96">
        <f>SUM('Egresos Reales'!N50)</f>
        <v>0</v>
      </c>
      <c r="E9" s="24">
        <f>SUM('Presupuesto Egresos'!N50)</f>
        <v>0</v>
      </c>
      <c r="F9" s="96">
        <f>SUM(E9-D9)</f>
        <v>0</v>
      </c>
      <c r="G9" s="6"/>
    </row>
    <row r="10" spans="2:7">
      <c r="B10" s="6"/>
      <c r="C10" s="250"/>
      <c r="D10" s="96"/>
      <c r="E10" s="24"/>
      <c r="F10" s="96"/>
      <c r="G10" s="6"/>
    </row>
    <row r="11" spans="2:7">
      <c r="B11" s="26" t="s">
        <v>60</v>
      </c>
      <c r="C11" s="250">
        <f>VLOOKUP($B11,'[1]FISM Egresos'!$A$10:$I$30,7,0)</f>
        <v>0</v>
      </c>
      <c r="D11" s="96">
        <f>SUM('Egresos Reales'!N51)</f>
        <v>0</v>
      </c>
      <c r="E11" s="24">
        <f>SUM('Presupuesto Egresos'!N51)</f>
        <v>0</v>
      </c>
      <c r="F11" s="96">
        <f>SUM(E11-D11)</f>
        <v>0</v>
      </c>
      <c r="G11" s="6"/>
    </row>
    <row r="12" spans="2:7">
      <c r="B12" s="26"/>
      <c r="C12" s="250"/>
      <c r="D12" s="96"/>
      <c r="E12" s="24"/>
      <c r="F12" s="96"/>
      <c r="G12" s="6"/>
    </row>
    <row r="13" spans="2:7">
      <c r="B13" s="26" t="s">
        <v>551</v>
      </c>
      <c r="C13" s="250">
        <f>VLOOKUP($B13,'[1]FISM Egresos'!$A$10:$I$30,7,0)</f>
        <v>46.4</v>
      </c>
      <c r="D13" s="96">
        <f>SUM('Egresos Reales'!N52)</f>
        <v>11.6</v>
      </c>
      <c r="E13" s="24">
        <f>SUM('Presupuesto Egresos'!N52)</f>
        <v>11.6</v>
      </c>
      <c r="F13" s="96">
        <f>SUM(E13-D13)</f>
        <v>0</v>
      </c>
      <c r="G13" s="6"/>
    </row>
    <row r="14" spans="2:7">
      <c r="B14" s="26"/>
      <c r="C14" s="250"/>
      <c r="D14" s="96"/>
      <c r="E14" s="24"/>
      <c r="F14" s="96"/>
      <c r="G14" s="6"/>
    </row>
    <row r="15" spans="2:7">
      <c r="B15" s="26" t="s">
        <v>489</v>
      </c>
      <c r="C15" s="250">
        <f>VLOOKUP($B15,'[1]FISM Egresos'!$A$10:$I$30,7,0)</f>
        <v>0</v>
      </c>
      <c r="D15" s="96">
        <f>SUM('Egresos Reales'!N53)</f>
        <v>0</v>
      </c>
      <c r="E15" s="24">
        <f>SUM('Presupuesto Egresos'!N53)</f>
        <v>0</v>
      </c>
      <c r="F15" s="96">
        <f>SUM(E15-D15)</f>
        <v>0</v>
      </c>
      <c r="G15" s="6"/>
    </row>
    <row r="16" spans="2:7">
      <c r="B16" s="26"/>
      <c r="C16" s="250"/>
      <c r="D16" s="96"/>
      <c r="E16" s="24"/>
      <c r="F16" s="96"/>
      <c r="G16" s="6"/>
    </row>
    <row r="17" spans="2:7">
      <c r="B17" s="245" t="s">
        <v>490</v>
      </c>
      <c r="C17" s="250">
        <f>VLOOKUP($B17,'[1]FISM Egresos'!$A$10:$I$30,7,0)</f>
        <v>0</v>
      </c>
      <c r="D17" s="96">
        <f>SUM('Egresos Reales'!N54)</f>
        <v>980.2</v>
      </c>
      <c r="E17" s="24">
        <f>SUM('Presupuesto Egresos'!N54)</f>
        <v>980.2</v>
      </c>
      <c r="F17" s="96">
        <f>SUM(E17-D17)</f>
        <v>0</v>
      </c>
      <c r="G17" s="6"/>
    </row>
    <row r="18" spans="2:7">
      <c r="B18" s="26"/>
      <c r="C18" s="250"/>
      <c r="D18" s="96"/>
      <c r="E18" s="24"/>
      <c r="F18" s="96"/>
      <c r="G18" s="6"/>
    </row>
    <row r="19" spans="2:7">
      <c r="B19" s="245" t="s">
        <v>568</v>
      </c>
      <c r="C19" s="250">
        <f>VLOOKUP($B19,'[1]FISM Egresos'!$A$10:$I$30,7,0)</f>
        <v>-1</v>
      </c>
      <c r="D19" s="96">
        <f>SUM('Egresos Reales'!N55)</f>
        <v>1740</v>
      </c>
      <c r="E19" s="24">
        <f>SUM('Presupuesto Egresos'!N55)</f>
        <v>1740</v>
      </c>
      <c r="F19" s="96">
        <f>SUM(E19-D19)</f>
        <v>0</v>
      </c>
      <c r="G19" s="6"/>
    </row>
    <row r="20" spans="2:7">
      <c r="B20" s="245"/>
      <c r="C20" s="250"/>
      <c r="D20" s="96"/>
      <c r="E20" s="24"/>
      <c r="F20" s="96"/>
      <c r="G20" s="6"/>
    </row>
    <row r="21" spans="2:7">
      <c r="B21" s="245" t="s">
        <v>1141</v>
      </c>
      <c r="C21" s="250">
        <v>0</v>
      </c>
      <c r="D21" s="96">
        <f>SUM('Egresos Reales'!N56)</f>
        <v>0</v>
      </c>
      <c r="E21" s="24">
        <f>SUM('Presupuesto Egresos'!N56)</f>
        <v>0</v>
      </c>
      <c r="F21" s="96">
        <f>SUM(E21-D21)</f>
        <v>0</v>
      </c>
      <c r="G21" s="6"/>
    </row>
    <row r="22" spans="2:7">
      <c r="B22" s="26"/>
      <c r="C22" s="250"/>
      <c r="D22" s="96"/>
      <c r="E22" s="24"/>
      <c r="F22" s="96"/>
      <c r="G22" s="6"/>
    </row>
    <row r="23" spans="2:7">
      <c r="B23" s="26" t="s">
        <v>558</v>
      </c>
      <c r="C23" s="250">
        <f>VLOOKUP($B23,'[1]FISM Egresos'!$A$10:$I$30,7,0)</f>
        <v>6396013.2100000009</v>
      </c>
      <c r="D23" s="96">
        <f>SUM('Egresos Reales'!N57)</f>
        <v>122994.11</v>
      </c>
      <c r="E23" s="24">
        <f>SUM('Presupuesto Egresos'!N57)</f>
        <v>2614056.64</v>
      </c>
      <c r="F23" s="96">
        <f>SUM(E23-D23)</f>
        <v>2491062.5300000003</v>
      </c>
      <c r="G23" s="6"/>
    </row>
    <row r="24" spans="2:7">
      <c r="B24" s="26"/>
      <c r="C24" s="250"/>
      <c r="D24" s="96"/>
      <c r="E24" s="24"/>
      <c r="F24" s="96"/>
      <c r="G24" s="6"/>
    </row>
    <row r="25" spans="2:7">
      <c r="B25" s="26" t="s">
        <v>550</v>
      </c>
      <c r="C25" s="250">
        <f>VLOOKUP($B25,'[1]FISM Egresos'!$A$10:$I$30,7,0)</f>
        <v>0</v>
      </c>
      <c r="D25" s="96">
        <f>SUM('Egresos Reales'!N58)</f>
        <v>0</v>
      </c>
      <c r="E25" s="24">
        <f>SUM('Presupuesto Egresos'!N58)</f>
        <v>0</v>
      </c>
      <c r="F25" s="96">
        <f>SUM(E25-D25)</f>
        <v>0</v>
      </c>
      <c r="G25" s="6"/>
    </row>
    <row r="26" spans="2:7">
      <c r="B26" s="26"/>
      <c r="C26" s="250"/>
      <c r="D26" s="96"/>
      <c r="E26" s="24"/>
      <c r="F26" s="96"/>
      <c r="G26" s="6"/>
    </row>
    <row r="27" spans="2:7">
      <c r="B27" s="26" t="s">
        <v>491</v>
      </c>
      <c r="C27" s="250">
        <f>VLOOKUP($B27,'[1]FISM Egresos'!$A$10:$I$30,7,0)</f>
        <v>0</v>
      </c>
      <c r="D27" s="96">
        <f>SUM('Egresos Reales'!N59)</f>
        <v>0</v>
      </c>
      <c r="E27" s="24">
        <f>SUM('Presupuesto Egresos'!N59)</f>
        <v>0</v>
      </c>
      <c r="F27" s="96">
        <f>SUM(E27-D27)</f>
        <v>0</v>
      </c>
      <c r="G27" s="6"/>
    </row>
    <row r="28" spans="2:7">
      <c r="B28" s="26"/>
      <c r="C28" s="250"/>
      <c r="D28" s="96"/>
      <c r="E28" s="24"/>
      <c r="F28" s="96"/>
      <c r="G28" s="6"/>
    </row>
    <row r="29" spans="2:7">
      <c r="B29" s="245" t="s">
        <v>492</v>
      </c>
      <c r="C29" s="250">
        <f>VLOOKUP($B29,'[1]FISM Egresos'!$A$10:$I$30,7,0)</f>
        <v>1129136.8600000001</v>
      </c>
      <c r="D29" s="96">
        <f>SUM('Egresos Reales'!N60)</f>
        <v>3114900.21</v>
      </c>
      <c r="E29" s="24">
        <f>SUM('Presupuesto Egresos'!N60)</f>
        <v>7562045.0599999996</v>
      </c>
      <c r="F29" s="96">
        <f>SUM(E29-D29)</f>
        <v>4447144.8499999996</v>
      </c>
      <c r="G29" s="6"/>
    </row>
    <row r="30" spans="2:7">
      <c r="B30" s="26"/>
      <c r="C30" s="250"/>
      <c r="D30" s="96"/>
      <c r="E30" s="24"/>
      <c r="F30" s="96"/>
      <c r="G30" s="6"/>
    </row>
    <row r="31" spans="2:7">
      <c r="B31" s="245" t="s">
        <v>569</v>
      </c>
      <c r="C31" s="250">
        <f>VLOOKUP($B31,'[1]FISM Egresos'!$A$10:$I$30,7,0)</f>
        <v>12706721.130000001</v>
      </c>
      <c r="D31" s="96">
        <f>SUM('Egresos Reales'!N61)</f>
        <v>237588.56</v>
      </c>
      <c r="E31" s="24">
        <f>SUM('Presupuesto Egresos'!N61)</f>
        <v>237588.56</v>
      </c>
      <c r="F31" s="96">
        <f>SUM(E31-D31)</f>
        <v>0</v>
      </c>
      <c r="G31" s="6"/>
    </row>
    <row r="32" spans="2:7">
      <c r="B32" s="245"/>
      <c r="C32" s="250"/>
      <c r="D32" s="96"/>
      <c r="E32" s="24"/>
      <c r="F32" s="96"/>
      <c r="G32" s="6"/>
    </row>
    <row r="33" spans="2:7">
      <c r="B33" s="245" t="s">
        <v>1142</v>
      </c>
      <c r="C33" s="250">
        <v>0</v>
      </c>
      <c r="D33" s="96">
        <f>SUM('Egresos Reales'!N62)</f>
        <v>9045066.9499999993</v>
      </c>
      <c r="E33" s="24">
        <f>SUM('Presupuesto Egresos'!N62)</f>
        <v>13236429.65</v>
      </c>
      <c r="F33" s="96">
        <f>SUM(E33-D33)</f>
        <v>4191362.7000000011</v>
      </c>
      <c r="G33" s="6"/>
    </row>
    <row r="34" spans="2:7">
      <c r="B34" s="7"/>
      <c r="C34" s="25"/>
      <c r="D34" s="25"/>
      <c r="E34" s="25"/>
      <c r="F34" s="25"/>
      <c r="G34" s="6"/>
    </row>
    <row r="35" spans="2:7" ht="13.5" thickBot="1">
      <c r="B35" s="13"/>
      <c r="C35" s="45"/>
      <c r="D35" s="45"/>
      <c r="E35" s="45"/>
      <c r="F35" s="45"/>
      <c r="G35" s="6"/>
    </row>
    <row r="36" spans="2:7" ht="33.75" customHeight="1" thickBot="1">
      <c r="B36" s="426" t="s">
        <v>4</v>
      </c>
      <c r="C36" s="427">
        <f>SUM(C8:C34)</f>
        <v>20231916.600000001</v>
      </c>
      <c r="D36" s="452">
        <f>SUM(D8:D34)</f>
        <v>12523281.629999999</v>
      </c>
      <c r="E36" s="427">
        <f>SUM(E8:E34)</f>
        <v>23652851.710000001</v>
      </c>
      <c r="F36" s="452">
        <f>SUM(F8:F34)</f>
        <v>11129570.080000002</v>
      </c>
      <c r="G36" s="457"/>
    </row>
    <row r="37" spans="2:7" ht="20.25" customHeight="1">
      <c r="B37" s="13"/>
      <c r="C37" s="14"/>
      <c r="D37" s="14"/>
      <c r="E37" s="14"/>
      <c r="F37" s="14"/>
      <c r="G37" s="15"/>
    </row>
    <row r="38" spans="2:7" ht="20.25" customHeight="1">
      <c r="B38" s="13"/>
      <c r="C38" s="14"/>
      <c r="D38" s="14"/>
      <c r="E38" s="14"/>
      <c r="F38" s="14"/>
      <c r="G38" s="15"/>
    </row>
    <row r="39" spans="2:7" ht="20.25" customHeight="1">
      <c r="B39" s="13"/>
      <c r="C39" s="14"/>
      <c r="D39" s="14"/>
      <c r="E39" s="14"/>
      <c r="F39" s="14"/>
      <c r="G39" s="15"/>
    </row>
    <row r="40" spans="2:7" ht="20.25" customHeight="1">
      <c r="B40" s="13"/>
      <c r="C40" s="14"/>
      <c r="D40" s="14"/>
      <c r="E40" s="14"/>
      <c r="F40" s="14"/>
      <c r="G40" s="15"/>
    </row>
    <row r="41" spans="2:7" ht="20.25" customHeight="1">
      <c r="B41" s="16"/>
      <c r="C41" s="17"/>
      <c r="D41" s="17"/>
      <c r="E41" s="17"/>
      <c r="F41" s="17"/>
      <c r="G41" s="18"/>
    </row>
  </sheetData>
  <mergeCells count="4">
    <mergeCell ref="B2:G2"/>
    <mergeCell ref="B3:G3"/>
    <mergeCell ref="C5:D5"/>
    <mergeCell ref="B1:G1"/>
  </mergeCells>
  <phoneticPr fontId="7" type="noConversion"/>
  <printOptions horizontalCentered="1"/>
  <pageMargins left="0.18" right="0.18" top="0.5" bottom="0.17" header="0" footer="0"/>
  <pageSetup scale="98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80"/>
  <sheetViews>
    <sheetView topLeftCell="A43" workbookViewId="0">
      <selection activeCell="A55" sqref="A55:F56"/>
    </sheetView>
  </sheetViews>
  <sheetFormatPr baseColWidth="10" defaultRowHeight="12.75"/>
  <cols>
    <col min="1" max="1" width="32.28515625" customWidth="1"/>
    <col min="2" max="3" width="14.85546875" customWidth="1"/>
    <col min="4" max="4" width="14.85546875" style="163" customWidth="1"/>
    <col min="5" max="5" width="14.85546875" customWidth="1"/>
    <col min="6" max="6" width="43.42578125" customWidth="1"/>
  </cols>
  <sheetData>
    <row r="1" spans="1:6" ht="15.75">
      <c r="A1" s="336" t="s">
        <v>366</v>
      </c>
      <c r="B1" s="336"/>
      <c r="C1" s="336"/>
      <c r="D1" s="336"/>
      <c r="E1" s="336"/>
      <c r="F1" s="336"/>
    </row>
    <row r="2" spans="1:6">
      <c r="A2" s="335" t="s">
        <v>1131</v>
      </c>
      <c r="B2" s="335"/>
      <c r="C2" s="335"/>
      <c r="D2" s="335"/>
      <c r="E2" s="335"/>
      <c r="F2" s="335"/>
    </row>
    <row r="3" spans="1:6">
      <c r="A3" s="335" t="s">
        <v>202</v>
      </c>
      <c r="B3" s="335"/>
      <c r="C3" s="335"/>
      <c r="D3" s="335"/>
      <c r="E3" s="335"/>
      <c r="F3" s="335"/>
    </row>
    <row r="4" spans="1:6" ht="13.5" thickBot="1"/>
    <row r="5" spans="1:6" ht="13.5" thickBot="1">
      <c r="A5" s="438" t="s">
        <v>0</v>
      </c>
      <c r="B5" s="439" t="s">
        <v>210</v>
      </c>
      <c r="C5" s="440"/>
      <c r="D5" s="441" t="s">
        <v>40</v>
      </c>
      <c r="E5" s="441" t="s">
        <v>41</v>
      </c>
      <c r="F5" s="438" t="s">
        <v>238</v>
      </c>
    </row>
    <row r="6" spans="1:6" ht="13.5" thickBot="1">
      <c r="A6" s="442"/>
      <c r="B6" s="443">
        <v>2010</v>
      </c>
      <c r="C6" s="443">
        <v>2011</v>
      </c>
      <c r="D6" s="443">
        <v>2011</v>
      </c>
      <c r="E6" s="443"/>
      <c r="F6" s="444"/>
    </row>
    <row r="7" spans="1:6">
      <c r="A7" s="103"/>
      <c r="B7" s="14"/>
      <c r="C7" s="14"/>
      <c r="D7" s="171"/>
      <c r="E7" s="14"/>
      <c r="F7" s="104"/>
    </row>
    <row r="8" spans="1:6">
      <c r="A8" s="112"/>
      <c r="B8" s="23"/>
      <c r="C8" s="124"/>
      <c r="D8" s="173"/>
      <c r="E8" s="119"/>
      <c r="F8" s="560"/>
    </row>
    <row r="9" spans="1:6">
      <c r="A9" s="561" t="s">
        <v>358</v>
      </c>
      <c r="B9" s="256">
        <f>VLOOKUP($A9,'[1]FAFM Egresos '!$A$10:$I$66,7,0)</f>
        <v>83663499.609999999</v>
      </c>
      <c r="C9" s="120">
        <f>SUM('Egresos Reales'!N64)</f>
        <v>84547324.669999987</v>
      </c>
      <c r="D9" s="165">
        <f>SUM('Presupuesto Egresos'!N64)</f>
        <v>93271975.780000001</v>
      </c>
      <c r="E9" s="122">
        <f>SUM(D9-C9)</f>
        <v>8724651.1100000143</v>
      </c>
      <c r="F9" s="104" t="s">
        <v>536</v>
      </c>
    </row>
    <row r="10" spans="1:6">
      <c r="A10" s="561"/>
      <c r="B10" s="256"/>
      <c r="C10" s="120"/>
      <c r="D10" s="165"/>
      <c r="E10" s="122"/>
      <c r="F10" s="104" t="s">
        <v>537</v>
      </c>
    </row>
    <row r="11" spans="1:6">
      <c r="A11" s="561" t="s">
        <v>515</v>
      </c>
      <c r="B11" s="256">
        <f>VLOOKUP($A11,'[1]FAFM Egresos '!$A$10:$I$66,7,0)</f>
        <v>25462</v>
      </c>
      <c r="C11" s="120">
        <f>SUM('Egresos Reales'!N65)</f>
        <v>557273.4</v>
      </c>
      <c r="D11" s="165">
        <f>SUM('Presupuesto Egresos'!N65)</f>
        <v>220899.4</v>
      </c>
      <c r="E11" s="122">
        <f>SUM(D11-C11)</f>
        <v>-336374</v>
      </c>
      <c r="F11" s="104"/>
    </row>
    <row r="12" spans="1:6">
      <c r="A12" s="561"/>
      <c r="B12" s="256"/>
      <c r="C12" s="120"/>
      <c r="D12" s="165"/>
      <c r="E12" s="122"/>
      <c r="F12" s="104"/>
    </row>
    <row r="13" spans="1:6">
      <c r="A13" s="561" t="s">
        <v>502</v>
      </c>
      <c r="B13" s="256">
        <f>VLOOKUP($A13,'[1]FAFM Egresos '!$A$10:$I$66,7,0)</f>
        <v>0</v>
      </c>
      <c r="C13" s="120">
        <f>SUM('Egresos Reales'!N66)</f>
        <v>0</v>
      </c>
      <c r="D13" s="165">
        <f>SUM('Presupuesto Egresos'!N66)</f>
        <v>0</v>
      </c>
      <c r="E13" s="122">
        <f>SUM(D13-C13)</f>
        <v>0</v>
      </c>
      <c r="F13" s="104"/>
    </row>
    <row r="14" spans="1:6">
      <c r="A14" s="561"/>
      <c r="B14" s="256"/>
      <c r="C14" s="120"/>
      <c r="D14" s="165"/>
      <c r="E14" s="122"/>
      <c r="F14" s="104"/>
    </row>
    <row r="15" spans="1:6">
      <c r="A15" s="561" t="s">
        <v>497</v>
      </c>
      <c r="B15" s="256">
        <f>VLOOKUP($A15,'[1]FAFM Egresos '!$A$10:$I$66,7,0)</f>
        <v>1274804.1499999999</v>
      </c>
      <c r="C15" s="120">
        <f>SUM('Egresos Reales'!N67)</f>
        <v>0</v>
      </c>
      <c r="D15" s="165">
        <f>SUM('Presupuesto Egresos'!N67)</f>
        <v>0</v>
      </c>
      <c r="E15" s="122">
        <f>SUM(D15-C15)</f>
        <v>0</v>
      </c>
      <c r="F15" s="104"/>
    </row>
    <row r="16" spans="1:6">
      <c r="A16" s="561"/>
      <c r="B16" s="256"/>
      <c r="C16" s="120"/>
      <c r="D16" s="165"/>
      <c r="E16" s="122"/>
      <c r="F16" s="104"/>
    </row>
    <row r="17" spans="1:6">
      <c r="A17" s="561" t="s">
        <v>571</v>
      </c>
      <c r="B17" s="256">
        <f>VLOOKUP($A17,'[1]FAFM Egresos '!$A$10:$I$66,7,0)</f>
        <v>2411010.56</v>
      </c>
      <c r="C17" s="120">
        <f>SUM('Egresos Reales'!N68)</f>
        <v>3114437.6</v>
      </c>
      <c r="D17" s="165">
        <f>SUM('Presupuesto Egresos'!N68)</f>
        <v>3114437.6</v>
      </c>
      <c r="E17" s="122">
        <f>SUM(D17-C17)</f>
        <v>0</v>
      </c>
      <c r="F17" s="104"/>
    </row>
    <row r="18" spans="1:6">
      <c r="A18" s="561"/>
      <c r="B18" s="256"/>
      <c r="C18" s="120"/>
      <c r="D18" s="165"/>
      <c r="E18" s="122"/>
      <c r="F18" s="104"/>
    </row>
    <row r="19" spans="1:6">
      <c r="A19" s="562" t="s">
        <v>1143</v>
      </c>
      <c r="B19" s="256">
        <v>0</v>
      </c>
      <c r="C19" s="120">
        <f>SUM('Egresos Reales'!N69)</f>
        <v>6719538.2499999991</v>
      </c>
      <c r="D19" s="165">
        <f>SUM('Presupuesto Egresos'!N69)</f>
        <v>7593277.1200000001</v>
      </c>
      <c r="E19" s="122">
        <f>SUM(D19-C19)</f>
        <v>873738.87000000104</v>
      </c>
      <c r="F19" s="104"/>
    </row>
    <row r="20" spans="1:6">
      <c r="A20" s="561"/>
      <c r="B20" s="256"/>
      <c r="C20" s="120"/>
      <c r="D20" s="165"/>
      <c r="E20" s="122"/>
      <c r="F20" s="104"/>
    </row>
    <row r="21" spans="1:6">
      <c r="A21" s="561" t="s">
        <v>503</v>
      </c>
      <c r="B21" s="256">
        <f>VLOOKUP($A21,'[1]FAFM Egresos '!$A$10:$I$66,7,0)</f>
        <v>0</v>
      </c>
      <c r="C21" s="120">
        <f>SUM('Egresos Reales'!N70)</f>
        <v>0</v>
      </c>
      <c r="D21" s="165">
        <f>SUM('Presupuesto Egresos'!N70)</f>
        <v>0</v>
      </c>
      <c r="E21" s="122">
        <f>SUM(D21-C21)</f>
        <v>0</v>
      </c>
      <c r="F21" s="104"/>
    </row>
    <row r="22" spans="1:6">
      <c r="A22" s="561"/>
      <c r="B22" s="256"/>
      <c r="C22" s="120"/>
      <c r="D22" s="165"/>
      <c r="E22" s="122"/>
      <c r="F22" s="104"/>
    </row>
    <row r="23" spans="1:6">
      <c r="A23" s="561" t="s">
        <v>498</v>
      </c>
      <c r="B23" s="256">
        <f>VLOOKUP($A23,'[1]FAFM Egresos '!$A$10:$I$66,7,0)</f>
        <v>0</v>
      </c>
      <c r="C23" s="120">
        <f>SUM('Egresos Reales'!N71)</f>
        <v>0</v>
      </c>
      <c r="D23" s="165">
        <f>SUM('Presupuesto Egresos'!N71)</f>
        <v>0</v>
      </c>
      <c r="E23" s="122">
        <f>SUM(D23-C23)</f>
        <v>0</v>
      </c>
      <c r="F23" s="104"/>
    </row>
    <row r="24" spans="1:6">
      <c r="A24" s="561"/>
      <c r="B24" s="256"/>
      <c r="C24" s="120"/>
      <c r="D24" s="165"/>
      <c r="E24" s="122"/>
      <c r="F24" s="104"/>
    </row>
    <row r="25" spans="1:6">
      <c r="A25" s="561" t="s">
        <v>572</v>
      </c>
      <c r="B25" s="256">
        <f>VLOOKUP($A25,'[1]FAFM Egresos '!$A$10:$I$66,7,0)</f>
        <v>1440000</v>
      </c>
      <c r="C25" s="120">
        <f>SUM('Egresos Reales'!N72)</f>
        <v>0</v>
      </c>
      <c r="D25" s="165">
        <f>SUM('Presupuesto Egresos'!N72)</f>
        <v>0</v>
      </c>
      <c r="E25" s="122">
        <f>SUM(D25-C25)</f>
        <v>0</v>
      </c>
      <c r="F25" s="104"/>
    </row>
    <row r="26" spans="1:6">
      <c r="A26" s="561"/>
      <c r="B26" s="256"/>
      <c r="C26" s="120"/>
      <c r="D26" s="165"/>
      <c r="E26" s="122"/>
      <c r="F26" s="104"/>
    </row>
    <row r="27" spans="1:6">
      <c r="A27" s="562" t="s">
        <v>1144</v>
      </c>
      <c r="B27" s="256">
        <v>0</v>
      </c>
      <c r="C27" s="120">
        <f>SUM('Egresos Reales'!N73)</f>
        <v>1440000</v>
      </c>
      <c r="D27" s="165">
        <f>SUM('Presupuesto Egresos'!N73)</f>
        <v>1440000</v>
      </c>
      <c r="E27" s="122">
        <f>SUM(D27-C27)</f>
        <v>0</v>
      </c>
      <c r="F27" s="104"/>
    </row>
    <row r="28" spans="1:6">
      <c r="A28" s="561"/>
      <c r="B28" s="256"/>
      <c r="C28" s="120"/>
      <c r="D28" s="165"/>
      <c r="E28" s="122"/>
      <c r="F28" s="104"/>
    </row>
    <row r="29" spans="1:6">
      <c r="A29" s="561" t="s">
        <v>505</v>
      </c>
      <c r="B29" s="256">
        <f>VLOOKUP($A29,'[1]FAFM Egresos '!$A$10:$I$66,7,0)</f>
        <v>0</v>
      </c>
      <c r="C29" s="120">
        <f>SUM('Egresos Reales'!N74)</f>
        <v>0</v>
      </c>
      <c r="D29" s="165">
        <f>SUM('Presupuesto Egresos'!N74)</f>
        <v>0</v>
      </c>
      <c r="E29" s="122">
        <f>SUM(D29-C29)</f>
        <v>0</v>
      </c>
      <c r="F29" s="104"/>
    </row>
    <row r="30" spans="1:6">
      <c r="A30" s="561"/>
      <c r="B30" s="256"/>
      <c r="C30" s="120"/>
      <c r="D30" s="165"/>
      <c r="E30" s="122"/>
      <c r="F30" s="104"/>
    </row>
    <row r="31" spans="1:6">
      <c r="A31" s="561" t="s">
        <v>506</v>
      </c>
      <c r="B31" s="256">
        <f>VLOOKUP($A31,'[1]FAFM Egresos '!$A$10:$I$66,7,0)</f>
        <v>0</v>
      </c>
      <c r="C31" s="120">
        <f>SUM('Egresos Reales'!N75)</f>
        <v>0</v>
      </c>
      <c r="D31" s="165">
        <f>SUM('Presupuesto Egresos'!N75)</f>
        <v>0</v>
      </c>
      <c r="E31" s="122">
        <f>SUM(D31-C31)</f>
        <v>0</v>
      </c>
      <c r="F31" s="104"/>
    </row>
    <row r="32" spans="1:6">
      <c r="A32" s="561"/>
      <c r="B32" s="256"/>
      <c r="C32" s="120"/>
      <c r="D32" s="165"/>
      <c r="E32" s="122"/>
      <c r="F32" s="104"/>
    </row>
    <row r="33" spans="1:6">
      <c r="A33" s="561" t="s">
        <v>585</v>
      </c>
      <c r="B33" s="256">
        <f>VLOOKUP($A33,'[1]FAFM Egresos '!$A$10:$I$66,7,0)</f>
        <v>4600561.4200000009</v>
      </c>
      <c r="C33" s="120">
        <f>SUM('Egresos Reales'!N76)</f>
        <v>887046.42999999993</v>
      </c>
      <c r="D33" s="165">
        <f>SUM('Presupuesto Egresos'!N76)</f>
        <v>887046.43</v>
      </c>
      <c r="E33" s="122">
        <f>SUM(D33-C33)</f>
        <v>1.1641532182693481E-10</v>
      </c>
      <c r="F33" s="104"/>
    </row>
    <row r="34" spans="1:6">
      <c r="A34" s="561"/>
      <c r="B34" s="256"/>
      <c r="C34" s="120"/>
      <c r="D34" s="165"/>
      <c r="E34" s="122"/>
      <c r="F34" s="104"/>
    </row>
    <row r="35" spans="1:6">
      <c r="A35" s="562" t="s">
        <v>1152</v>
      </c>
      <c r="B35" s="256">
        <v>0</v>
      </c>
      <c r="C35" s="120">
        <f>SUM('Egresos Reales'!N77)</f>
        <v>5297954.8600000013</v>
      </c>
      <c r="D35" s="165">
        <f>SUM('Presupuesto Egresos'!N77)</f>
        <v>5298445.1100000003</v>
      </c>
      <c r="E35" s="122">
        <f>SUM(D35-C35)</f>
        <v>490.24999999906868</v>
      </c>
      <c r="F35" s="104"/>
    </row>
    <row r="36" spans="1:6">
      <c r="A36" s="561"/>
      <c r="B36" s="256"/>
      <c r="C36" s="120"/>
      <c r="D36" s="165"/>
      <c r="E36" s="122"/>
      <c r="F36" s="104"/>
    </row>
    <row r="37" spans="1:6">
      <c r="A37" s="561" t="s">
        <v>491</v>
      </c>
      <c r="B37" s="256">
        <f>VLOOKUP($A37,'[1]FAFM Egresos '!$A$10:$I$66,7,0)</f>
        <v>31965.42</v>
      </c>
      <c r="C37" s="120">
        <f>SUM('Egresos Reales'!N78)</f>
        <v>0</v>
      </c>
      <c r="D37" s="165">
        <f>SUM('Presupuesto Egresos'!N78)</f>
        <v>0</v>
      </c>
      <c r="E37" s="122">
        <f>SUM(D37-C37)</f>
        <v>0</v>
      </c>
      <c r="F37" s="104"/>
    </row>
    <row r="38" spans="1:6">
      <c r="A38" s="561"/>
      <c r="B38" s="256"/>
      <c r="C38" s="120"/>
      <c r="D38" s="165"/>
      <c r="E38" s="122"/>
      <c r="F38" s="104"/>
    </row>
    <row r="39" spans="1:6">
      <c r="A39" s="561" t="s">
        <v>492</v>
      </c>
      <c r="B39" s="256">
        <f>VLOOKUP($A39,'[1]FAFM Egresos '!$A$10:$I$66,7,0)</f>
        <v>8793151.6099999994</v>
      </c>
      <c r="C39" s="120">
        <f>SUM('Egresos Reales'!N79)</f>
        <v>0</v>
      </c>
      <c r="D39" s="165">
        <f>SUM('Presupuesto Egresos'!N79)</f>
        <v>0</v>
      </c>
      <c r="E39" s="122">
        <f>SUM(D39-C39)</f>
        <v>0</v>
      </c>
      <c r="F39" s="104"/>
    </row>
    <row r="40" spans="1:6">
      <c r="A40" s="561"/>
      <c r="B40" s="256"/>
      <c r="C40" s="120"/>
      <c r="D40" s="165"/>
      <c r="E40" s="122"/>
      <c r="F40" s="104"/>
    </row>
    <row r="41" spans="1:6">
      <c r="A41" s="561" t="s">
        <v>569</v>
      </c>
      <c r="B41" s="256">
        <f>VLOOKUP($A41,'[1]FAFM Egresos '!$A$10:$I$66,7,0)</f>
        <v>21000352.509999998</v>
      </c>
      <c r="C41" s="120">
        <f>SUM('Egresos Reales'!N80)</f>
        <v>0</v>
      </c>
      <c r="D41" s="165">
        <f>SUM('Presupuesto Egresos'!N80)</f>
        <v>0</v>
      </c>
      <c r="E41" s="122">
        <f>SUM(D41-C41)</f>
        <v>0</v>
      </c>
      <c r="F41" s="104"/>
    </row>
    <row r="42" spans="1:6">
      <c r="A42" s="561"/>
      <c r="B42" s="256"/>
      <c r="C42" s="120"/>
      <c r="D42" s="165"/>
      <c r="E42" s="122"/>
      <c r="F42" s="104"/>
    </row>
    <row r="43" spans="1:6">
      <c r="A43" s="561" t="s">
        <v>501</v>
      </c>
      <c r="B43" s="256">
        <f>VLOOKUP($A43,'[1]FAFM Egresos '!$A$10:$I$66,7,0)</f>
        <v>0</v>
      </c>
      <c r="C43" s="120">
        <f>SUM('Egresos Reales'!N81)</f>
        <v>0</v>
      </c>
      <c r="D43" s="165">
        <f>SUM('Presupuesto Egresos'!N81)</f>
        <v>0</v>
      </c>
      <c r="E43" s="122">
        <f>SUM(D43-C43)</f>
        <v>0</v>
      </c>
      <c r="F43" s="104"/>
    </row>
    <row r="44" spans="1:6">
      <c r="A44" s="561"/>
      <c r="B44" s="256"/>
      <c r="C44" s="120"/>
      <c r="D44" s="165"/>
      <c r="E44" s="122"/>
      <c r="F44" s="104"/>
    </row>
    <row r="45" spans="1:6">
      <c r="A45" s="561" t="s">
        <v>500</v>
      </c>
      <c r="B45" s="256">
        <f>VLOOKUP($A45,'[1]FAFM Egresos '!$A$10:$I$66,7,0)</f>
        <v>0</v>
      </c>
      <c r="C45" s="120">
        <f>SUM('Egresos Reales'!N82)</f>
        <v>0</v>
      </c>
      <c r="D45" s="165">
        <f>SUM('Presupuesto Egresos'!N82)</f>
        <v>0</v>
      </c>
      <c r="E45" s="122">
        <f>SUM(D45-C45)</f>
        <v>0</v>
      </c>
      <c r="F45" s="104"/>
    </row>
    <row r="46" spans="1:6">
      <c r="A46" s="561"/>
      <c r="B46" s="256"/>
      <c r="C46" s="120"/>
      <c r="D46" s="165"/>
      <c r="E46" s="122"/>
      <c r="F46" s="104"/>
    </row>
    <row r="47" spans="1:6">
      <c r="A47" s="561" t="s">
        <v>570</v>
      </c>
      <c r="B47" s="256">
        <f>VLOOKUP($A47,'[1]FAFM Egresos '!$A$10:$I$66,7,0)</f>
        <v>3566283.0300000007</v>
      </c>
      <c r="C47" s="120">
        <f>SUM('Egresos Reales'!N83)</f>
        <v>1385434.56</v>
      </c>
      <c r="D47" s="165">
        <f>SUM('Presupuesto Egresos'!N83)</f>
        <v>1385434.56</v>
      </c>
      <c r="E47" s="122">
        <f>SUM(D47-C47)</f>
        <v>0</v>
      </c>
      <c r="F47" s="104"/>
    </row>
    <row r="48" spans="1:6">
      <c r="A48" s="561"/>
      <c r="B48" s="256"/>
      <c r="C48" s="120"/>
      <c r="D48" s="165"/>
      <c r="E48" s="122"/>
      <c r="F48" s="104"/>
    </row>
    <row r="49" spans="1:6">
      <c r="A49" s="562" t="s">
        <v>1145</v>
      </c>
      <c r="B49" s="256">
        <v>0</v>
      </c>
      <c r="C49" s="120">
        <f>SUM('Egresos Reales'!N84)</f>
        <v>1553673.84</v>
      </c>
      <c r="D49" s="165">
        <f>SUM('Presupuesto Egresos'!N84)</f>
        <v>1898691.0899999999</v>
      </c>
      <c r="E49" s="122">
        <f>SUM(D49-C49)</f>
        <v>345017.24999999977</v>
      </c>
      <c r="F49" s="104"/>
    </row>
    <row r="50" spans="1:6">
      <c r="A50" s="561"/>
      <c r="B50" s="256"/>
      <c r="C50" s="120"/>
      <c r="D50" s="165"/>
      <c r="E50" s="122"/>
      <c r="F50" s="104"/>
    </row>
    <row r="51" spans="1:6">
      <c r="A51" s="103" t="s">
        <v>489</v>
      </c>
      <c r="B51" s="256">
        <f>VLOOKUP($A51,'[1]FAFM Egresos '!$A$10:$I$66,7,0)</f>
        <v>11.6</v>
      </c>
      <c r="C51" s="120">
        <f>SUM('Egresos Reales'!N85)</f>
        <v>5.8</v>
      </c>
      <c r="D51" s="165">
        <f>SUM('Presupuesto Egresos'!N85)</f>
        <v>5.8</v>
      </c>
      <c r="E51" s="122">
        <f>SUM(D51-C51)</f>
        <v>0</v>
      </c>
      <c r="F51" s="104"/>
    </row>
    <row r="52" spans="1:6">
      <c r="A52" s="103"/>
      <c r="B52" s="256"/>
      <c r="C52" s="120"/>
      <c r="D52" s="165"/>
      <c r="E52" s="122"/>
      <c r="F52" s="104"/>
    </row>
    <row r="53" spans="1:6" ht="13.5" thickBot="1">
      <c r="A53" s="113" t="s">
        <v>490</v>
      </c>
      <c r="B53" s="563">
        <f>VLOOKUP($A53,'[1]FAFM Egresos '!$A$10:$I$66,7,0)</f>
        <v>145</v>
      </c>
      <c r="C53" s="564">
        <f>SUM('Egresos Reales'!N86)</f>
        <v>0</v>
      </c>
      <c r="D53" s="565">
        <f>SUM('Presupuesto Egresos'!N86)</f>
        <v>0</v>
      </c>
      <c r="E53" s="566">
        <f>SUM(D53-C53)</f>
        <v>0</v>
      </c>
      <c r="F53" s="115"/>
    </row>
    <row r="54" spans="1:6" ht="13.5" thickBot="1">
      <c r="A54" s="14"/>
      <c r="B54" s="283"/>
      <c r="C54" s="120"/>
      <c r="D54" s="172"/>
      <c r="E54" s="120"/>
      <c r="F54" s="14"/>
    </row>
    <row r="55" spans="1:6" ht="13.5" thickBot="1">
      <c r="A55" s="438" t="s">
        <v>0</v>
      </c>
      <c r="B55" s="439" t="s">
        <v>210</v>
      </c>
      <c r="C55" s="440"/>
      <c r="D55" s="441" t="s">
        <v>40</v>
      </c>
      <c r="E55" s="441" t="s">
        <v>41</v>
      </c>
      <c r="F55" s="438" t="s">
        <v>238</v>
      </c>
    </row>
    <row r="56" spans="1:6" ht="13.5" thickBot="1">
      <c r="A56" s="442"/>
      <c r="B56" s="443">
        <v>2010</v>
      </c>
      <c r="C56" s="443">
        <v>2011</v>
      </c>
      <c r="D56" s="443">
        <v>2011</v>
      </c>
      <c r="E56" s="443"/>
      <c r="F56" s="444"/>
    </row>
    <row r="57" spans="1:6">
      <c r="A57" s="567"/>
      <c r="B57" s="334"/>
      <c r="C57" s="334"/>
      <c r="D57" s="278"/>
      <c r="E57" s="334"/>
      <c r="F57" s="568"/>
    </row>
    <row r="58" spans="1:6">
      <c r="A58" s="112" t="s">
        <v>568</v>
      </c>
      <c r="B58" s="280">
        <f>VLOOKUP($A58,'[1]FAFM Egresos '!$A$10:$I$66,7,0)</f>
        <v>114151</v>
      </c>
      <c r="C58" s="281">
        <f>SUM('Egresos Reales'!N87)</f>
        <v>996.32</v>
      </c>
      <c r="D58" s="173">
        <f>SUM('Presupuesto Egresos'!N87)</f>
        <v>996.32</v>
      </c>
      <c r="E58" s="282">
        <f>SUM(D58-C58)</f>
        <v>0</v>
      </c>
      <c r="F58" s="569"/>
    </row>
    <row r="59" spans="1:6">
      <c r="A59" s="103"/>
      <c r="B59" s="256"/>
      <c r="C59" s="120"/>
      <c r="D59" s="165"/>
      <c r="E59" s="122"/>
      <c r="F59" s="104"/>
    </row>
    <row r="60" spans="1:6">
      <c r="A60" s="253" t="s">
        <v>1141</v>
      </c>
      <c r="B60" s="256">
        <v>0</v>
      </c>
      <c r="C60" s="120">
        <f>SUM('Egresos Reales'!N88)</f>
        <v>5.8</v>
      </c>
      <c r="D60" s="165">
        <f>SUM('Presupuesto Egresos'!N88)</f>
        <v>5.7999999999999545</v>
      </c>
      <c r="E60" s="122">
        <f>SUM(D60-C60)</f>
        <v>-4.5297099404706387E-14</v>
      </c>
      <c r="F60" s="104"/>
    </row>
    <row r="61" spans="1:6">
      <c r="A61" s="103"/>
      <c r="B61" s="256"/>
      <c r="C61" s="120"/>
      <c r="D61" s="165"/>
      <c r="E61" s="122"/>
      <c r="F61" s="104"/>
    </row>
    <row r="62" spans="1:6">
      <c r="A62" s="265" t="s">
        <v>398</v>
      </c>
      <c r="B62" s="256">
        <f>VLOOKUP($A62,'[1]FAFM Egresos '!$A$10:$I$66,7,0)</f>
        <v>0</v>
      </c>
      <c r="C62" s="120">
        <f>SUM('Egresos Reales'!N89)</f>
        <v>0</v>
      </c>
      <c r="D62" s="165">
        <f>SUM('Presupuesto Egresos'!N89)</f>
        <v>0</v>
      </c>
      <c r="E62" s="122">
        <f>SUM(D62-C62)</f>
        <v>0</v>
      </c>
      <c r="F62" s="104"/>
    </row>
    <row r="63" spans="1:6">
      <c r="A63" s="265"/>
      <c r="B63" s="256"/>
      <c r="C63" s="120"/>
      <c r="D63" s="165"/>
      <c r="E63" s="122"/>
      <c r="F63" s="104"/>
    </row>
    <row r="64" spans="1:6">
      <c r="A64" s="561" t="s">
        <v>301</v>
      </c>
      <c r="B64" s="256">
        <f>VLOOKUP($A64,'[1]FAFM Egresos '!$A$10:$I$66,7,0)</f>
        <v>0</v>
      </c>
      <c r="C64" s="120">
        <f>SUM('Egresos Reales'!N90)</f>
        <v>0</v>
      </c>
      <c r="D64" s="165">
        <f>SUM('Presupuesto Egresos'!N90)</f>
        <v>0</v>
      </c>
      <c r="E64" s="122">
        <f>SUM(D64-C64)</f>
        <v>0</v>
      </c>
      <c r="F64" s="104"/>
    </row>
    <row r="65" spans="1:6">
      <c r="A65" s="561"/>
      <c r="B65" s="256"/>
      <c r="C65" s="120"/>
      <c r="D65" s="165"/>
      <c r="E65" s="122"/>
      <c r="F65" s="104"/>
    </row>
    <row r="66" spans="1:6">
      <c r="A66" s="561" t="s">
        <v>464</v>
      </c>
      <c r="B66" s="256">
        <f>VLOOKUP($A66,'[1]FAFM Egresos '!$A$10:$I$66,7,0)</f>
        <v>33441794</v>
      </c>
      <c r="C66" s="120">
        <f>SUM('Egresos Reales'!N91)</f>
        <v>82398662</v>
      </c>
      <c r="D66" s="165">
        <f>SUM('Presupuesto Egresos'!N91)</f>
        <v>110848656.2</v>
      </c>
      <c r="E66" s="122">
        <f>SUM(D66-C66)</f>
        <v>28449994.200000003</v>
      </c>
      <c r="F66" s="104"/>
    </row>
    <row r="67" spans="1:6">
      <c r="A67" s="561"/>
      <c r="B67" s="256"/>
      <c r="C67" s="120"/>
      <c r="D67" s="165"/>
      <c r="E67" s="122"/>
      <c r="F67" s="104"/>
    </row>
    <row r="68" spans="1:6">
      <c r="A68" s="561" t="s">
        <v>439</v>
      </c>
      <c r="B68" s="256">
        <f>VLOOKUP($A68,'[1]FAFM Egresos '!$A$10:$I$66,7,0)</f>
        <v>0</v>
      </c>
      <c r="C68" s="120">
        <f>SUM('Egresos Reales'!N92)</f>
        <v>0</v>
      </c>
      <c r="D68" s="165">
        <f>SUM('Presupuesto Egresos'!N92)</f>
        <v>0</v>
      </c>
      <c r="E68" s="122">
        <f>SUM(D68-C68)</f>
        <v>0</v>
      </c>
      <c r="F68" s="104"/>
    </row>
    <row r="69" spans="1:6">
      <c r="A69" s="561"/>
      <c r="B69" s="256"/>
      <c r="C69" s="120"/>
      <c r="D69" s="165"/>
      <c r="E69" s="122"/>
      <c r="F69" s="104"/>
    </row>
    <row r="70" spans="1:6">
      <c r="A70" s="561" t="s">
        <v>545</v>
      </c>
      <c r="B70" s="256">
        <f>VLOOKUP($A70,'[1]FAFM Egresos '!$A$10:$I$66,7,0)</f>
        <v>3468737</v>
      </c>
      <c r="C70" s="120">
        <f>SUM('Egresos Reales'!N93)</f>
        <v>3000000</v>
      </c>
      <c r="D70" s="165">
        <f>SUM('Presupuesto Egresos'!N93)</f>
        <v>3000000</v>
      </c>
      <c r="E70" s="122">
        <f>SUM(D70-C70)</f>
        <v>0</v>
      </c>
      <c r="F70" s="104"/>
    </row>
    <row r="71" spans="1:6">
      <c r="A71" s="561"/>
      <c r="B71" s="256"/>
      <c r="C71" s="120"/>
      <c r="D71" s="165"/>
      <c r="E71" s="122"/>
      <c r="F71" s="104"/>
    </row>
    <row r="72" spans="1:6">
      <c r="A72" s="561" t="s">
        <v>554</v>
      </c>
      <c r="B72" s="256">
        <f>VLOOKUP($A72,'[1]FAFM Egresos '!$A$10:$I$66,7,0)</f>
        <v>0</v>
      </c>
      <c r="C72" s="120">
        <f>SUM('Egresos Reales'!N94)</f>
        <v>0</v>
      </c>
      <c r="D72" s="165">
        <f>SUM('Presupuesto Egresos'!N94)</f>
        <v>0</v>
      </c>
      <c r="E72" s="122">
        <f>SUM(D72-C72)</f>
        <v>0</v>
      </c>
      <c r="F72" s="104"/>
    </row>
    <row r="73" spans="1:6">
      <c r="A73" s="561"/>
      <c r="B73" s="250"/>
      <c r="C73" s="120"/>
      <c r="D73" s="165"/>
      <c r="E73" s="122"/>
      <c r="F73" s="104"/>
    </row>
    <row r="74" spans="1:6">
      <c r="A74" s="561" t="s">
        <v>539</v>
      </c>
      <c r="B74" s="256">
        <f>VLOOKUP($A74,'[1]FAFM Egresos '!$A$10:$I$66,7,0)</f>
        <v>0</v>
      </c>
      <c r="C74" s="120">
        <f>SUM('Egresos Reales'!N95)</f>
        <v>0</v>
      </c>
      <c r="D74" s="165">
        <f>SUM('Presupuesto Egresos'!N95)</f>
        <v>0</v>
      </c>
      <c r="E74" s="122">
        <f>SUM(D74-C74)</f>
        <v>0</v>
      </c>
      <c r="F74" s="104"/>
    </row>
    <row r="75" spans="1:6">
      <c r="A75" s="561"/>
      <c r="B75" s="250"/>
      <c r="C75" s="120"/>
      <c r="D75" s="165"/>
      <c r="E75" s="122"/>
      <c r="F75" s="104"/>
    </row>
    <row r="76" spans="1:6">
      <c r="A76" s="561" t="s">
        <v>540</v>
      </c>
      <c r="B76" s="256">
        <f>VLOOKUP($A76,'[1]FAFM Egresos '!$A$10:$I$66,7,0)</f>
        <v>0</v>
      </c>
      <c r="C76" s="120">
        <f>SUM('Egresos Reales'!N96)</f>
        <v>0</v>
      </c>
      <c r="D76" s="165">
        <f>SUM('Presupuesto Egresos'!N96)</f>
        <v>0</v>
      </c>
      <c r="E76" s="122">
        <f>SUM(D76-C76)</f>
        <v>0</v>
      </c>
      <c r="F76" s="104"/>
    </row>
    <row r="77" spans="1:6">
      <c r="A77" s="561"/>
      <c r="B77" s="250"/>
      <c r="C77" s="120"/>
      <c r="D77" s="165"/>
      <c r="E77" s="122"/>
      <c r="F77" s="104"/>
    </row>
    <row r="78" spans="1:6">
      <c r="A78" s="570" t="s">
        <v>597</v>
      </c>
      <c r="B78" s="257">
        <f>VLOOKUP($A78,'[1]FAFM Egresos '!$A$10:$I$66,7,0)</f>
        <v>4911811.2200000007</v>
      </c>
      <c r="C78" s="123">
        <f>SUM('Egresos Reales'!N97)</f>
        <v>5358340.8000000007</v>
      </c>
      <c r="D78" s="200">
        <f>SUM('Presupuesto Egresos'!N97)</f>
        <v>5358340.5</v>
      </c>
      <c r="E78" s="117">
        <f>SUM(D78-C78)</f>
        <v>-0.30000000074505806</v>
      </c>
      <c r="F78" s="104"/>
    </row>
    <row r="79" spans="1:6" ht="13.5" thickBot="1">
      <c r="A79" s="377"/>
      <c r="B79" s="45"/>
      <c r="C79" s="45"/>
      <c r="D79" s="162"/>
      <c r="E79" s="45"/>
      <c r="F79" s="104"/>
    </row>
    <row r="80" spans="1:6" ht="23.25" customHeight="1" thickBot="1">
      <c r="A80" s="426" t="s">
        <v>4</v>
      </c>
      <c r="B80" s="427">
        <f>SUM(B9:B78)</f>
        <v>168745750.13</v>
      </c>
      <c r="C80" s="427">
        <f>SUM(C9:C78)</f>
        <v>196262705.32999998</v>
      </c>
      <c r="D80" s="427">
        <f>SUM(D9:D78)</f>
        <v>234320222.71000001</v>
      </c>
      <c r="E80" s="427">
        <f>SUM(E9:E78)</f>
        <v>38057517.380000025</v>
      </c>
      <c r="F80" s="457"/>
    </row>
  </sheetData>
  <mergeCells count="5">
    <mergeCell ref="A2:F2"/>
    <mergeCell ref="A3:F3"/>
    <mergeCell ref="B5:C5"/>
    <mergeCell ref="A1:F1"/>
    <mergeCell ref="B55:C55"/>
  </mergeCells>
  <phoneticPr fontId="7" type="noConversion"/>
  <printOptions horizontalCentered="1"/>
  <pageMargins left="0.19685039370078741" right="0.19685039370078741" top="0.15748031496062992" bottom="0.19685039370078741" header="0" footer="0"/>
  <pageSetup scale="85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1" sqref="B1:G11"/>
    </sheetView>
  </sheetViews>
  <sheetFormatPr baseColWidth="10" defaultRowHeight="12.75"/>
  <cols>
    <col min="1" max="1" width="2.7109375" customWidth="1"/>
    <col min="2" max="2" width="39.42578125" bestFit="1" customWidth="1"/>
    <col min="3" max="6" width="14.85546875" customWidth="1"/>
    <col min="7" max="7" width="27.85546875" customWidth="1"/>
  </cols>
  <sheetData>
    <row r="1" spans="2:7" ht="15.75">
      <c r="B1" s="336" t="s">
        <v>366</v>
      </c>
      <c r="C1" s="336"/>
      <c r="D1" s="336"/>
      <c r="E1" s="336"/>
      <c r="F1" s="336"/>
      <c r="G1" s="336"/>
    </row>
    <row r="2" spans="2:7">
      <c r="B2" s="335" t="s">
        <v>1131</v>
      </c>
      <c r="C2" s="335"/>
      <c r="D2" s="335"/>
      <c r="E2" s="335"/>
      <c r="F2" s="335"/>
      <c r="G2" s="335"/>
    </row>
    <row r="3" spans="2:7">
      <c r="B3" s="335" t="s">
        <v>331</v>
      </c>
      <c r="C3" s="335"/>
      <c r="D3" s="335"/>
      <c r="E3" s="335"/>
      <c r="F3" s="335"/>
      <c r="G3" s="335"/>
    </row>
    <row r="4" spans="2:7" ht="13.5" thickBot="1"/>
    <row r="5" spans="2:7" ht="13.5" thickBot="1">
      <c r="B5" s="447" t="s">
        <v>0</v>
      </c>
      <c r="C5" s="555" t="s">
        <v>210</v>
      </c>
      <c r="D5" s="556"/>
      <c r="E5" s="557" t="s">
        <v>40</v>
      </c>
      <c r="F5" s="557" t="s">
        <v>41</v>
      </c>
      <c r="G5" s="447" t="s">
        <v>238</v>
      </c>
    </row>
    <row r="6" spans="2:7" ht="13.5" thickBot="1">
      <c r="B6" s="448"/>
      <c r="C6" s="558">
        <v>2010</v>
      </c>
      <c r="D6" s="558">
        <v>2011</v>
      </c>
      <c r="E6" s="558">
        <v>2011</v>
      </c>
      <c r="F6" s="558"/>
      <c r="G6" s="559"/>
    </row>
    <row r="8" spans="2:7">
      <c r="B8" s="11"/>
      <c r="C8" s="23"/>
      <c r="D8" s="124"/>
      <c r="E8" s="23"/>
      <c r="F8" s="119"/>
      <c r="G8" s="121"/>
    </row>
    <row r="9" spans="2:7">
      <c r="B9" s="118" t="s">
        <v>525</v>
      </c>
      <c r="C9" s="250">
        <f>VLOOKUP($B9,'[1]Obligaciones Financieras'!$A$10:$H$18,7,0)</f>
        <v>20000000</v>
      </c>
      <c r="D9" s="120">
        <f>SUM('Egresos Reales'!N99)</f>
        <v>63750813</v>
      </c>
      <c r="E9" s="24">
        <f>SUM('Presupuesto Egresos'!N99)</f>
        <v>23977000</v>
      </c>
      <c r="F9" s="122">
        <f>SUM(E9-D9)</f>
        <v>-39773813</v>
      </c>
      <c r="G9" s="15"/>
    </row>
    <row r="10" spans="2:7">
      <c r="B10" s="118"/>
      <c r="C10" s="250"/>
      <c r="D10" s="120"/>
      <c r="E10" s="24"/>
      <c r="F10" s="122"/>
      <c r="G10" s="15"/>
    </row>
    <row r="11" spans="2:7">
      <c r="B11" s="118" t="s">
        <v>523</v>
      </c>
      <c r="C11" s="250">
        <f>VLOOKUP($B11,'[1]Obligaciones Financieras'!$A$10:$H$18,7,0)</f>
        <v>3514383.62</v>
      </c>
      <c r="D11" s="120">
        <f>SUM('Egresos Reales'!N100)</f>
        <v>16511080.060000001</v>
      </c>
      <c r="E11" s="24">
        <f>SUM('Presupuesto Egresos'!N100)</f>
        <v>16616585.109999999</v>
      </c>
      <c r="F11" s="122">
        <f>SUM(E11-D11)</f>
        <v>105505.04999999888</v>
      </c>
      <c r="G11" s="15"/>
    </row>
    <row r="12" spans="2:7">
      <c r="B12" s="118"/>
      <c r="C12" s="250"/>
      <c r="D12" s="120"/>
      <c r="E12" s="24"/>
      <c r="F12" s="122"/>
      <c r="G12" s="15"/>
    </row>
    <row r="13" spans="2:7">
      <c r="B13" s="13" t="s">
        <v>360</v>
      </c>
      <c r="C13" s="250">
        <f>VLOOKUP($B13,'[1]Obligaciones Financieras'!$A$10:$H$18,7,0)</f>
        <v>0</v>
      </c>
      <c r="D13" s="120">
        <f>SUM('Egresos Reales'!N101)</f>
        <v>0</v>
      </c>
      <c r="E13" s="24">
        <f>SUM('Presupuesto Egresos'!N101)</f>
        <v>0</v>
      </c>
      <c r="F13" s="122">
        <f>SUM(E13-D13)</f>
        <v>0</v>
      </c>
      <c r="G13" s="15"/>
    </row>
    <row r="14" spans="2:7">
      <c r="B14" s="13"/>
      <c r="C14" s="250"/>
      <c r="D14" s="120"/>
      <c r="E14" s="24"/>
      <c r="F14" s="122"/>
      <c r="G14" s="15"/>
    </row>
    <row r="15" spans="2:7">
      <c r="B15" s="85" t="s">
        <v>367</v>
      </c>
      <c r="C15" s="250">
        <f>VLOOKUP($B15,'[1]Obligaciones Financieras'!$A$10:$H$18,7,0)</f>
        <v>0</v>
      </c>
      <c r="D15" s="120">
        <f>SUM('Egresos Reales'!N102)</f>
        <v>0</v>
      </c>
      <c r="E15" s="24">
        <f>SUM('Presupuesto Egresos'!N102)</f>
        <v>0</v>
      </c>
      <c r="F15" s="122">
        <f>SUM(E15-D15)</f>
        <v>0</v>
      </c>
      <c r="G15" s="15"/>
    </row>
    <row r="16" spans="2:7">
      <c r="B16" s="85"/>
      <c r="C16" s="250"/>
      <c r="D16" s="120"/>
      <c r="E16" s="24"/>
      <c r="F16" s="122"/>
      <c r="G16" s="15"/>
    </row>
    <row r="17" spans="2:7">
      <c r="B17" s="161" t="s">
        <v>399</v>
      </c>
      <c r="C17" s="258">
        <f>VLOOKUP($B17,'[1]Obligaciones Financieras'!$A$10:$H$18,7,0)</f>
        <v>0</v>
      </c>
      <c r="D17" s="123">
        <f>SUM('Egresos Reales'!N103)</f>
        <v>0</v>
      </c>
      <c r="E17" s="25">
        <f>SUM('Presupuesto Egresos'!N103)</f>
        <v>0</v>
      </c>
      <c r="F17" s="117">
        <f>SUM(E17-D17)</f>
        <v>0</v>
      </c>
      <c r="G17" s="15"/>
    </row>
    <row r="18" spans="2:7" ht="13.5" thickBot="1">
      <c r="C18" s="30"/>
      <c r="D18" s="30"/>
      <c r="E18" s="30"/>
      <c r="F18" s="45"/>
      <c r="G18" s="15"/>
    </row>
    <row r="19" spans="2:7" ht="26.25" customHeight="1" thickBot="1">
      <c r="B19" s="426" t="s">
        <v>4</v>
      </c>
      <c r="C19" s="427">
        <f>SUM(C8:C17)</f>
        <v>23514383.620000001</v>
      </c>
      <c r="D19" s="427">
        <f>SUM(D8:D17)</f>
        <v>80261893.060000002</v>
      </c>
      <c r="E19" s="427">
        <f>SUM(E8:E17)</f>
        <v>40593585.109999999</v>
      </c>
      <c r="F19" s="427">
        <f>SUM(F8:F17)</f>
        <v>-39668307.950000003</v>
      </c>
      <c r="G19" s="457"/>
    </row>
    <row r="20" spans="2:7">
      <c r="B20" s="13"/>
      <c r="C20" s="14"/>
      <c r="D20" s="14"/>
      <c r="E20" s="14"/>
      <c r="F20" s="14"/>
      <c r="G20" s="15"/>
    </row>
    <row r="21" spans="2:7">
      <c r="B21" s="13"/>
      <c r="C21" s="14"/>
      <c r="D21" s="14"/>
      <c r="E21" s="14"/>
      <c r="F21" s="14"/>
      <c r="G21" s="15"/>
    </row>
    <row r="22" spans="2:7">
      <c r="B22" s="13"/>
      <c r="C22" s="14"/>
      <c r="D22" s="14"/>
      <c r="E22" s="14"/>
      <c r="F22" s="14"/>
      <c r="G22" s="15"/>
    </row>
    <row r="23" spans="2:7">
      <c r="B23" s="13"/>
      <c r="C23" s="14"/>
      <c r="D23" s="14"/>
      <c r="E23" s="14"/>
      <c r="F23" s="14"/>
      <c r="G23" s="15"/>
    </row>
    <row r="24" spans="2:7">
      <c r="B24" s="13"/>
      <c r="C24" s="14"/>
      <c r="D24" s="14"/>
      <c r="E24" s="14"/>
      <c r="F24" s="14"/>
      <c r="G24" s="15"/>
    </row>
    <row r="25" spans="2:7">
      <c r="B25" s="13"/>
      <c r="C25" s="14"/>
      <c r="D25" s="14"/>
      <c r="E25" s="14"/>
      <c r="F25" s="14"/>
      <c r="G25" s="15"/>
    </row>
    <row r="26" spans="2:7">
      <c r="B26" s="13"/>
      <c r="C26" s="14"/>
      <c r="D26" s="14"/>
      <c r="E26" s="14"/>
      <c r="F26" s="14"/>
      <c r="G26" s="15"/>
    </row>
    <row r="27" spans="2:7">
      <c r="B27" s="13"/>
      <c r="C27" s="14"/>
      <c r="D27" s="14"/>
      <c r="E27" s="14"/>
      <c r="F27" s="14"/>
      <c r="G27" s="15"/>
    </row>
    <row r="28" spans="2:7">
      <c r="B28" s="13"/>
      <c r="C28" s="14"/>
      <c r="D28" s="14"/>
      <c r="E28" s="14"/>
      <c r="F28" s="14"/>
      <c r="G28" s="15"/>
    </row>
    <row r="29" spans="2:7">
      <c r="B29" s="13"/>
      <c r="C29" s="14"/>
      <c r="D29" s="14"/>
      <c r="E29" s="14"/>
      <c r="F29" s="14"/>
      <c r="G29" s="15"/>
    </row>
    <row r="30" spans="2:7">
      <c r="B30" s="13"/>
      <c r="C30" s="14"/>
      <c r="D30" s="14"/>
      <c r="E30" s="14"/>
      <c r="F30" s="14"/>
      <c r="G30" s="15"/>
    </row>
    <row r="31" spans="2:7">
      <c r="B31" s="13"/>
      <c r="C31" s="14"/>
      <c r="D31" s="14"/>
      <c r="E31" s="14"/>
      <c r="F31" s="14"/>
      <c r="G31" s="15"/>
    </row>
    <row r="32" spans="2:7">
      <c r="B32" s="13"/>
      <c r="C32" s="14"/>
      <c r="D32" s="14"/>
      <c r="E32" s="14"/>
      <c r="F32" s="14"/>
      <c r="G32" s="15"/>
    </row>
    <row r="33" spans="2:7">
      <c r="B33" s="13"/>
      <c r="C33" s="14"/>
      <c r="D33" s="14"/>
      <c r="E33" s="14"/>
      <c r="F33" s="14"/>
      <c r="G33" s="15"/>
    </row>
    <row r="34" spans="2:7">
      <c r="B34" s="13"/>
      <c r="C34" s="14"/>
      <c r="D34" s="14"/>
      <c r="E34" s="14"/>
      <c r="F34" s="14"/>
      <c r="G34" s="15"/>
    </row>
    <row r="35" spans="2:7">
      <c r="B35" s="13"/>
      <c r="C35" s="14"/>
      <c r="D35" s="14"/>
      <c r="E35" s="14"/>
      <c r="F35" s="14"/>
      <c r="G35" s="15"/>
    </row>
    <row r="36" spans="2:7">
      <c r="B36" s="13"/>
      <c r="C36" s="14"/>
      <c r="D36" s="14"/>
      <c r="E36" s="14"/>
      <c r="F36" s="14"/>
      <c r="G36" s="15"/>
    </row>
    <row r="37" spans="2:7">
      <c r="B37" s="13"/>
      <c r="C37" s="14"/>
      <c r="D37" s="14"/>
      <c r="E37" s="14"/>
      <c r="F37" s="14"/>
      <c r="G37" s="15"/>
    </row>
    <row r="38" spans="2:7">
      <c r="B38" s="13"/>
      <c r="C38" s="14"/>
      <c r="D38" s="14"/>
      <c r="E38" s="14"/>
      <c r="F38" s="14"/>
      <c r="G38" s="15"/>
    </row>
    <row r="39" spans="2:7">
      <c r="B39" s="13"/>
      <c r="C39" s="14"/>
      <c r="D39" s="14"/>
      <c r="E39" s="14"/>
      <c r="F39" s="14"/>
      <c r="G39" s="15"/>
    </row>
    <row r="40" spans="2:7">
      <c r="B40" s="13"/>
      <c r="C40" s="14"/>
      <c r="D40" s="14"/>
      <c r="E40" s="14"/>
      <c r="F40" s="14"/>
      <c r="G40" s="15"/>
    </row>
    <row r="41" spans="2:7">
      <c r="B41" s="16"/>
      <c r="C41" s="17"/>
      <c r="D41" s="17"/>
      <c r="E41" s="17"/>
      <c r="F41" s="17"/>
      <c r="G41" s="18"/>
    </row>
    <row r="43" spans="2:7" ht="15.75">
      <c r="B43" s="98"/>
    </row>
  </sheetData>
  <mergeCells count="4">
    <mergeCell ref="B2:G2"/>
    <mergeCell ref="B3:G3"/>
    <mergeCell ref="C5:D5"/>
    <mergeCell ref="B1:G1"/>
  </mergeCells>
  <phoneticPr fontId="7" type="noConversion"/>
  <printOptions horizontalCentered="1"/>
  <pageMargins left="0.17" right="0.26" top="0.56000000000000005" bottom="0.38" header="0" footer="0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topLeftCell="A19" zoomScale="80" workbookViewId="0">
      <selection activeCell="A34" sqref="A34:F34"/>
    </sheetView>
  </sheetViews>
  <sheetFormatPr baseColWidth="10" defaultRowHeight="12.75"/>
  <cols>
    <col min="1" max="1" width="32.5703125" customWidth="1"/>
    <col min="2" max="2" width="18.7109375" bestFit="1" customWidth="1"/>
    <col min="3" max="5" width="16.85546875" customWidth="1"/>
    <col min="6" max="6" width="47.28515625" customWidth="1"/>
  </cols>
  <sheetData>
    <row r="1" spans="1:6" ht="15.75">
      <c r="A1" s="420" t="s">
        <v>366</v>
      </c>
      <c r="B1" s="421"/>
      <c r="C1" s="421"/>
      <c r="D1" s="421"/>
      <c r="E1" s="421"/>
      <c r="F1" s="422"/>
    </row>
    <row r="2" spans="1:6">
      <c r="A2" s="423" t="s">
        <v>1131</v>
      </c>
      <c r="B2" s="350"/>
      <c r="C2" s="350"/>
      <c r="D2" s="350"/>
      <c r="E2" s="350"/>
      <c r="F2" s="351"/>
    </row>
    <row r="3" spans="1:6">
      <c r="A3" s="423" t="s">
        <v>5</v>
      </c>
      <c r="B3" s="350"/>
      <c r="C3" s="350"/>
      <c r="D3" s="350"/>
      <c r="E3" s="350"/>
      <c r="F3" s="351"/>
    </row>
    <row r="4" spans="1:6" ht="13.5" thickBot="1">
      <c r="A4" s="103"/>
      <c r="B4" s="14"/>
      <c r="C4" s="14"/>
      <c r="D4" s="14"/>
      <c r="E4" s="14"/>
      <c r="F4" s="104"/>
    </row>
    <row r="5" spans="1:6" ht="13.5" thickBot="1">
      <c r="A5" s="3" t="s">
        <v>0</v>
      </c>
      <c r="B5" s="337" t="s">
        <v>208</v>
      </c>
      <c r="C5" s="338"/>
      <c r="D5" s="3" t="s">
        <v>40</v>
      </c>
      <c r="E5" s="3" t="s">
        <v>41</v>
      </c>
      <c r="F5" s="3" t="s">
        <v>238</v>
      </c>
    </row>
    <row r="6" spans="1:6" ht="13.5" thickBot="1">
      <c r="A6" s="2"/>
      <c r="B6" s="4">
        <v>2010</v>
      </c>
      <c r="C6" s="4">
        <v>2011</v>
      </c>
      <c r="D6" s="4">
        <v>2011</v>
      </c>
      <c r="E6" s="4"/>
      <c r="F6" s="4"/>
    </row>
    <row r="7" spans="1:6" ht="13.5" thickBot="1">
      <c r="A7" s="103"/>
      <c r="B7" s="14"/>
      <c r="C7" s="14"/>
      <c r="D7" s="14"/>
      <c r="E7" s="14"/>
      <c r="F7" s="104"/>
    </row>
    <row r="8" spans="1:6">
      <c r="A8" s="260" t="s">
        <v>18</v>
      </c>
      <c r="B8" s="261">
        <f>VLOOKUP($A8,'[1]Analisis Ingr.'!$A$9:$I$33,7,0)</f>
        <v>186662382.79999998</v>
      </c>
      <c r="C8" s="261">
        <f>SUM('Ingresos Reales'!N6)</f>
        <v>216236487.09999999</v>
      </c>
      <c r="D8" s="261">
        <f>SUM('Presupuesto Ingresos'!N6)</f>
        <v>189505000</v>
      </c>
      <c r="E8" s="261">
        <f>SUM(C8-D8)</f>
        <v>26731487.099999994</v>
      </c>
      <c r="F8" s="262"/>
    </row>
    <row r="9" spans="1:6">
      <c r="A9" s="107"/>
      <c r="B9" s="9"/>
      <c r="C9" s="9"/>
      <c r="D9" s="9"/>
      <c r="E9" s="9"/>
      <c r="F9" s="108"/>
    </row>
    <row r="10" spans="1:6">
      <c r="A10" s="107" t="s">
        <v>19</v>
      </c>
      <c r="B10" s="9">
        <f>VLOOKUP($A10,'[1]Analisis Ingr.'!$A$9:$I$33,7,0)</f>
        <v>46651605.599999994</v>
      </c>
      <c r="C10" s="9">
        <f>SUM('Ingresos Reales'!N14)</f>
        <v>51760285.5</v>
      </c>
      <c r="D10" s="9">
        <f>SUM('Presupuesto Ingresos'!N14)</f>
        <v>42288853.32</v>
      </c>
      <c r="E10" s="9">
        <f>SUM(C10-D10)</f>
        <v>9471432.1799999997</v>
      </c>
      <c r="F10" s="108"/>
    </row>
    <row r="11" spans="1:6">
      <c r="A11" s="107"/>
      <c r="B11" s="9"/>
      <c r="C11" s="9"/>
      <c r="D11" s="9"/>
      <c r="E11" s="9"/>
      <c r="F11" s="108"/>
    </row>
    <row r="12" spans="1:6">
      <c r="A12" s="107" t="s">
        <v>240</v>
      </c>
      <c r="B12" s="9">
        <f>VLOOKUP($A12,'[1]Analisis Ingr.'!$A$9:$I$33,7,0)</f>
        <v>0</v>
      </c>
      <c r="C12" s="9">
        <f>SUM('Ingresos Reales'!N28)</f>
        <v>0</v>
      </c>
      <c r="D12" s="9">
        <f>SUM('Presupuesto Ingresos'!N28)</f>
        <v>0</v>
      </c>
      <c r="E12" s="9">
        <f>SUM(C12-D12)</f>
        <v>0</v>
      </c>
      <c r="F12" s="108"/>
    </row>
    <row r="13" spans="1:6">
      <c r="A13" s="107"/>
      <c r="B13" s="9"/>
      <c r="C13" s="9"/>
      <c r="D13" s="9"/>
      <c r="E13" s="9"/>
      <c r="F13" s="108"/>
    </row>
    <row r="14" spans="1:6">
      <c r="A14" s="107" t="s">
        <v>20</v>
      </c>
      <c r="B14" s="9">
        <f>VLOOKUP($A14,'[1]Analisis Ingr.'!$A$9:$I$33,7,0)</f>
        <v>5941521.0399999982</v>
      </c>
      <c r="C14" s="9">
        <f>SUM('Ingresos Reales'!N33)</f>
        <v>7214401.0599999996</v>
      </c>
      <c r="D14" s="9">
        <f>SUM('Presupuesto Ingresos'!N33)</f>
        <v>7051000</v>
      </c>
      <c r="E14" s="9">
        <f>SUM(C14-D14)</f>
        <v>163401.05999999959</v>
      </c>
      <c r="F14" s="108"/>
    </row>
    <row r="15" spans="1:6">
      <c r="A15" s="107"/>
      <c r="B15" s="9"/>
      <c r="C15" s="9"/>
      <c r="D15" s="9"/>
      <c r="E15" s="9"/>
      <c r="F15" s="108"/>
    </row>
    <row r="16" spans="1:6">
      <c r="A16" s="107" t="s">
        <v>21</v>
      </c>
      <c r="B16" s="9">
        <f>VLOOKUP($A16,'[1]Analisis Ingr.'!$A$9:$I$33,7,0)</f>
        <v>52004831.759999998</v>
      </c>
      <c r="C16" s="9">
        <f>SUM('Ingresos Reales'!N46)</f>
        <v>74663731.310000002</v>
      </c>
      <c r="D16" s="9">
        <f>SUM('Presupuesto Ingresos'!N46)</f>
        <v>44936000</v>
      </c>
      <c r="E16" s="9">
        <f>SUM(C16-D16)</f>
        <v>29727731.310000002</v>
      </c>
      <c r="F16" s="108"/>
    </row>
    <row r="17" spans="1:6">
      <c r="A17" s="107"/>
      <c r="B17" s="9"/>
      <c r="C17" s="9"/>
      <c r="D17" s="9"/>
      <c r="E17" s="9"/>
      <c r="F17" s="108"/>
    </row>
    <row r="18" spans="1:6">
      <c r="A18" s="107" t="s">
        <v>22</v>
      </c>
      <c r="B18" s="9">
        <f>VLOOKUP($A18,'[1]Analisis Ingr.'!$A$9:$I$33,7,0)</f>
        <v>273131748</v>
      </c>
      <c r="C18" s="9">
        <f>SUM('Ingresos Reales'!N55)</f>
        <v>393390587.71000004</v>
      </c>
      <c r="D18" s="9">
        <f>SUM('Presupuesto Ingresos'!N55)</f>
        <v>313998591</v>
      </c>
      <c r="E18" s="9">
        <f>SUM(C18-D18)</f>
        <v>79391996.710000038</v>
      </c>
      <c r="F18" s="108"/>
    </row>
    <row r="19" spans="1:6">
      <c r="A19" s="107"/>
      <c r="B19" s="9"/>
      <c r="C19" s="9"/>
      <c r="D19" s="9"/>
      <c r="E19" s="9"/>
      <c r="F19" s="108"/>
    </row>
    <row r="20" spans="1:6">
      <c r="A20" s="107" t="s">
        <v>1</v>
      </c>
      <c r="B20" s="9">
        <f>VLOOKUP($A20,'[1]Analisis Ingr.'!$A$9:$I$33,7,0)</f>
        <v>11923580.35</v>
      </c>
      <c r="C20" s="9">
        <f>SUM('Ingresos Reales'!N65)</f>
        <v>13016561</v>
      </c>
      <c r="D20" s="9">
        <f>SUM('Presupuesto Ingresos'!N65)</f>
        <v>12928423</v>
      </c>
      <c r="E20" s="9">
        <f>SUM(C20-D20)</f>
        <v>88138</v>
      </c>
      <c r="F20" s="108"/>
    </row>
    <row r="21" spans="1:6">
      <c r="A21" s="107"/>
      <c r="B21" s="9"/>
      <c r="C21" s="9"/>
      <c r="D21" s="9"/>
      <c r="E21" s="9"/>
      <c r="F21" s="108"/>
    </row>
    <row r="22" spans="1:6">
      <c r="A22" s="107" t="s">
        <v>2</v>
      </c>
      <c r="B22" s="9">
        <f>VLOOKUP($A22,'[1]Analisis Ingr.'!$A$9:$I$33,7,0)</f>
        <v>175205624.22</v>
      </c>
      <c r="C22" s="9">
        <f>SUM('Ingresos Reales'!N72)</f>
        <v>221114925.10000002</v>
      </c>
      <c r="D22" s="9">
        <f>SUM('Presupuesto Ingresos'!N72)</f>
        <v>195885921</v>
      </c>
      <c r="E22" s="9">
        <f>SUM(C22-D22)</f>
        <v>25229004.100000024</v>
      </c>
      <c r="F22" s="108"/>
    </row>
    <row r="23" spans="1:6">
      <c r="A23" s="107"/>
      <c r="B23" s="9"/>
      <c r="C23" s="9"/>
      <c r="D23" s="9"/>
      <c r="E23" s="9"/>
      <c r="F23" s="108"/>
    </row>
    <row r="24" spans="1:6">
      <c r="A24" s="107" t="s">
        <v>225</v>
      </c>
      <c r="B24" s="9">
        <f>VLOOKUP($A24,'[1]Analisis Ingr.'!$A$9:$I$33,7,0)</f>
        <v>2553651.7599999998</v>
      </c>
      <c r="C24" s="9">
        <f>SUM('Ingresos Reales'!N79)</f>
        <v>0</v>
      </c>
      <c r="D24" s="9">
        <f>SUM('Presupuesto Ingresos'!N79)</f>
        <v>4381055</v>
      </c>
      <c r="E24" s="9">
        <f>SUM(C24-D24)</f>
        <v>-4381055</v>
      </c>
      <c r="F24" s="108"/>
    </row>
    <row r="25" spans="1:6">
      <c r="A25" s="107"/>
      <c r="B25" s="9"/>
      <c r="C25" s="9"/>
      <c r="D25" s="9"/>
      <c r="E25" s="9"/>
      <c r="F25" s="108"/>
    </row>
    <row r="26" spans="1:6">
      <c r="A26" s="107" t="s">
        <v>169</v>
      </c>
      <c r="B26" s="9">
        <f>VLOOKUP($A26,'[1]Analisis Ingr.'!$A$9:$I$33,7,0)</f>
        <v>64944745.189999998</v>
      </c>
      <c r="C26" s="9">
        <f>SUM('Ingresos Reales'!N81)</f>
        <v>120750752.97</v>
      </c>
      <c r="D26" s="9">
        <f>SUM('Presupuesto Ingresos'!N81)</f>
        <v>0</v>
      </c>
      <c r="E26" s="9">
        <f>SUM(C26-D26)</f>
        <v>120750752.97</v>
      </c>
      <c r="F26" s="108"/>
    </row>
    <row r="27" spans="1:6">
      <c r="A27" s="107"/>
      <c r="B27" s="9"/>
      <c r="C27" s="9"/>
      <c r="D27" s="9"/>
      <c r="E27" s="9"/>
      <c r="F27" s="108"/>
    </row>
    <row r="28" spans="1:6">
      <c r="A28" s="107" t="s">
        <v>25</v>
      </c>
      <c r="B28" s="9">
        <f>VLOOKUP($A28,'[1]Analisis Ingr.'!$A$9:$I$33,7,0)</f>
        <v>2500</v>
      </c>
      <c r="C28" s="9">
        <f>SUM('Ingresos Reales'!N112)</f>
        <v>0</v>
      </c>
      <c r="D28" s="9">
        <f>SUM('Presupuesto Ingresos'!N111)</f>
        <v>0</v>
      </c>
      <c r="E28" s="9">
        <f>SUM(C28-D28)</f>
        <v>0</v>
      </c>
      <c r="F28" s="108"/>
    </row>
    <row r="29" spans="1:6">
      <c r="A29" s="107"/>
      <c r="B29" s="9"/>
      <c r="C29" s="9"/>
      <c r="D29" s="9"/>
      <c r="E29" s="9"/>
      <c r="F29" s="108"/>
    </row>
    <row r="30" spans="1:6">
      <c r="A30" s="107" t="s">
        <v>23</v>
      </c>
      <c r="B30" s="9">
        <f>VLOOKUP($A30,'[1]Analisis Ingr.'!$A$9:$I$33,7,0)</f>
        <v>188608463.19999999</v>
      </c>
      <c r="C30" s="9">
        <f>SUM('Ingresos Reales'!N114)</f>
        <v>236600000</v>
      </c>
      <c r="D30" s="9">
        <f>SUM('Presupuesto Ingresos'!N113)</f>
        <v>81097484.329999998</v>
      </c>
      <c r="E30" s="9">
        <f>SUM(C30-D30)</f>
        <v>155502515.67000002</v>
      </c>
      <c r="F30" s="108"/>
    </row>
    <row r="31" spans="1:6">
      <c r="A31" s="107"/>
      <c r="B31" s="9"/>
      <c r="C31" s="9"/>
      <c r="D31" s="9"/>
      <c r="E31" s="9"/>
      <c r="F31" s="108"/>
    </row>
    <row r="32" spans="1:6">
      <c r="A32" s="107" t="s">
        <v>26</v>
      </c>
      <c r="B32" s="9">
        <f>VLOOKUP($A32,'[1]Analisis Ingr.'!$A$9:$I$33,7,0)</f>
        <v>4920860.7699999996</v>
      </c>
      <c r="C32" s="9">
        <f>SUM('Ingresos Reales'!N121)</f>
        <v>44313719.489999995</v>
      </c>
      <c r="D32" s="9">
        <f>SUM('Presupuesto Ingresos'!N120)</f>
        <v>0</v>
      </c>
      <c r="E32" s="9">
        <f>SUM(C32-D32)</f>
        <v>44313719.489999995</v>
      </c>
      <c r="F32" s="108"/>
    </row>
    <row r="33" spans="1:7" ht="13.5" thickBot="1">
      <c r="A33" s="107"/>
      <c r="B33" s="9"/>
      <c r="C33" s="9"/>
      <c r="D33" s="9"/>
      <c r="E33" s="9"/>
      <c r="F33" s="108"/>
    </row>
    <row r="34" spans="1:7" ht="26.25" customHeight="1" thickBot="1">
      <c r="A34" s="426" t="s">
        <v>4</v>
      </c>
      <c r="B34" s="427">
        <f>SUM(B8:B32)</f>
        <v>1012551514.6900001</v>
      </c>
      <c r="C34" s="427">
        <f>SUM(C8:C32)</f>
        <v>1379061451.24</v>
      </c>
      <c r="D34" s="427">
        <f>SUM(D8:D32)</f>
        <v>892072327.64999998</v>
      </c>
      <c r="E34" s="427">
        <f>SUM(E8:E32)</f>
        <v>486989123.59000009</v>
      </c>
      <c r="F34" s="428"/>
      <c r="G34" s="1"/>
    </row>
    <row r="35" spans="1:7">
      <c r="A35" s="103"/>
      <c r="B35" s="14"/>
      <c r="C35" s="14"/>
      <c r="D35" s="14"/>
      <c r="E35" s="14"/>
      <c r="F35" s="104"/>
    </row>
    <row r="36" spans="1:7">
      <c r="A36" s="103"/>
      <c r="B36" s="14"/>
      <c r="C36" s="14"/>
      <c r="D36" s="14"/>
      <c r="E36" s="45"/>
      <c r="F36" s="104"/>
    </row>
    <row r="37" spans="1:7">
      <c r="A37" s="103"/>
      <c r="B37" s="14"/>
      <c r="C37" s="14"/>
      <c r="D37" s="14"/>
      <c r="E37" s="14"/>
      <c r="F37" s="104"/>
    </row>
    <row r="38" spans="1:7">
      <c r="A38" s="103"/>
      <c r="B38" s="14"/>
      <c r="C38" s="14"/>
      <c r="D38" s="14"/>
      <c r="E38" s="14"/>
      <c r="F38" s="104"/>
    </row>
    <row r="39" spans="1:7">
      <c r="A39" s="103"/>
      <c r="B39" s="14"/>
      <c r="C39" s="14"/>
      <c r="D39" s="14"/>
      <c r="E39" s="14"/>
      <c r="F39" s="104"/>
    </row>
    <row r="40" spans="1:7">
      <c r="A40" s="103"/>
      <c r="B40" s="14"/>
      <c r="C40" s="14"/>
      <c r="D40" s="14"/>
      <c r="E40" s="14"/>
      <c r="F40" s="104"/>
    </row>
    <row r="41" spans="1:7">
      <c r="A41" s="103"/>
      <c r="B41" s="14"/>
      <c r="C41" s="14"/>
      <c r="D41" s="14"/>
      <c r="E41" s="14"/>
      <c r="F41" s="104"/>
    </row>
    <row r="42" spans="1:7">
      <c r="A42" s="103"/>
      <c r="B42" s="14"/>
      <c r="C42" s="14"/>
      <c r="D42" s="14"/>
      <c r="E42" s="14"/>
      <c r="F42" s="104"/>
    </row>
    <row r="43" spans="1:7">
      <c r="A43" s="103"/>
      <c r="B43" s="14"/>
      <c r="C43" s="14"/>
      <c r="D43" s="14"/>
      <c r="E43" s="14"/>
      <c r="F43" s="104"/>
    </row>
    <row r="44" spans="1:7">
      <c r="A44" s="103"/>
      <c r="B44" s="14"/>
      <c r="C44" s="14"/>
      <c r="D44" s="14"/>
      <c r="E44" s="14"/>
      <c r="F44" s="104"/>
    </row>
    <row r="45" spans="1:7">
      <c r="A45" s="103"/>
      <c r="B45" s="14"/>
      <c r="C45" s="14"/>
      <c r="D45" s="14"/>
      <c r="E45" s="14"/>
      <c r="F45" s="104"/>
    </row>
    <row r="46" spans="1:7">
      <c r="A46" s="103"/>
      <c r="B46" s="14"/>
      <c r="C46" s="14"/>
      <c r="D46" s="14"/>
      <c r="E46" s="14"/>
      <c r="F46" s="104"/>
    </row>
    <row r="47" spans="1:7">
      <c r="A47" s="103"/>
      <c r="B47" s="14"/>
      <c r="C47" s="14"/>
      <c r="D47" s="14"/>
      <c r="E47" s="14"/>
      <c r="F47" s="104"/>
    </row>
    <row r="48" spans="1:7" ht="13.5" thickBot="1">
      <c r="A48" s="113"/>
      <c r="B48" s="114"/>
      <c r="C48" s="114"/>
      <c r="D48" s="114"/>
      <c r="E48" s="114"/>
      <c r="F48" s="115"/>
    </row>
  </sheetData>
  <mergeCells count="4">
    <mergeCell ref="A2:F2"/>
    <mergeCell ref="A3:F3"/>
    <mergeCell ref="A1:F1"/>
    <mergeCell ref="B5:C5"/>
  </mergeCells>
  <phoneticPr fontId="7" type="noConversion"/>
  <printOptions horizontalCentered="1"/>
  <pageMargins left="0.39370078740157483" right="0.19685039370078741" top="0.23622047244094491" bottom="0.19685039370078741" header="0" footer="0"/>
  <pageSetup scale="90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B1:G107"/>
  <sheetViews>
    <sheetView workbookViewId="0">
      <selection activeCell="B105" sqref="B105:G105"/>
    </sheetView>
  </sheetViews>
  <sheetFormatPr baseColWidth="10" defaultRowHeight="12.75"/>
  <cols>
    <col min="1" max="1" width="2.7109375" customWidth="1"/>
    <col min="2" max="2" width="44.85546875" customWidth="1"/>
    <col min="3" max="4" width="14.85546875" customWidth="1"/>
    <col min="5" max="5" width="15.28515625" bestFit="1" customWidth="1"/>
    <col min="6" max="6" width="14.85546875" customWidth="1"/>
    <col min="7" max="7" width="27.85546875" customWidth="1"/>
  </cols>
  <sheetData>
    <row r="1" spans="2:7" ht="15.75">
      <c r="B1" s="336" t="s">
        <v>366</v>
      </c>
      <c r="C1" s="336"/>
      <c r="D1" s="336"/>
      <c r="E1" s="336"/>
      <c r="F1" s="336"/>
      <c r="G1" s="336"/>
    </row>
    <row r="2" spans="2:7">
      <c r="B2" s="335" t="s">
        <v>1131</v>
      </c>
      <c r="C2" s="335"/>
      <c r="D2" s="335"/>
      <c r="E2" s="335"/>
      <c r="F2" s="335"/>
      <c r="G2" s="335"/>
    </row>
    <row r="3" spans="2:7">
      <c r="B3" s="335" t="s">
        <v>352</v>
      </c>
      <c r="C3" s="335"/>
      <c r="D3" s="335"/>
      <c r="E3" s="335"/>
      <c r="F3" s="335"/>
      <c r="G3" s="335"/>
    </row>
    <row r="4" spans="2:7" ht="13.5" thickBot="1"/>
    <row r="5" spans="2:7" ht="13.5" thickBot="1">
      <c r="B5" s="447" t="s">
        <v>0</v>
      </c>
      <c r="C5" s="555" t="s">
        <v>210</v>
      </c>
      <c r="D5" s="556"/>
      <c r="E5" s="557" t="s">
        <v>40</v>
      </c>
      <c r="F5" s="557" t="s">
        <v>41</v>
      </c>
      <c r="G5" s="447" t="s">
        <v>238</v>
      </c>
    </row>
    <row r="6" spans="2:7" ht="13.5" thickBot="1">
      <c r="B6" s="448"/>
      <c r="C6" s="558">
        <v>2010</v>
      </c>
      <c r="D6" s="558">
        <v>2011</v>
      </c>
      <c r="E6" s="558">
        <v>2011</v>
      </c>
      <c r="F6" s="558"/>
      <c r="G6" s="559"/>
    </row>
    <row r="8" spans="2:7">
      <c r="B8" s="5"/>
      <c r="C8" s="119"/>
      <c r="D8" s="124"/>
      <c r="E8" s="23"/>
      <c r="F8" s="119"/>
      <c r="G8" s="121"/>
    </row>
    <row r="9" spans="2:7">
      <c r="B9" s="6" t="s">
        <v>168</v>
      </c>
      <c r="C9" s="284">
        <f>VLOOKUP($B9,'[1]Otros Egresos'!$A$10:$H$90,7,0)</f>
        <v>2487452.16</v>
      </c>
      <c r="D9" s="120">
        <f>SUM('Egresos Reales'!N105)</f>
        <v>1428167.5499999998</v>
      </c>
      <c r="E9" s="24">
        <f>SUM('Presupuesto Egresos'!N105)</f>
        <v>3256760</v>
      </c>
      <c r="F9" s="122">
        <f>SUM(E9-D9)</f>
        <v>1828592.4500000002</v>
      </c>
      <c r="G9" s="15"/>
    </row>
    <row r="10" spans="2:7">
      <c r="B10" s="26"/>
      <c r="C10" s="284"/>
      <c r="D10" s="120"/>
      <c r="E10" s="24"/>
      <c r="F10" s="122"/>
      <c r="G10" s="15"/>
    </row>
    <row r="11" spans="2:7" hidden="1">
      <c r="B11" s="26" t="s">
        <v>158</v>
      </c>
      <c r="C11" s="284">
        <f>VLOOKUP($B11,'[1]Otros Egresos'!$A$10:$H$90,7,0)</f>
        <v>0</v>
      </c>
      <c r="D11" s="120">
        <f>SUM('Egresos Reales'!N106)</f>
        <v>0</v>
      </c>
      <c r="E11" s="24">
        <f>SUM('Presupuesto Egresos'!N106)</f>
        <v>0</v>
      </c>
      <c r="F11" s="122">
        <f>SUM(E11-D11)</f>
        <v>0</v>
      </c>
      <c r="G11" s="15"/>
    </row>
    <row r="12" spans="2:7" hidden="1">
      <c r="B12" s="26"/>
      <c r="C12" s="284"/>
      <c r="D12" s="120"/>
      <c r="E12" s="24"/>
      <c r="F12" s="122"/>
      <c r="G12" s="15"/>
    </row>
    <row r="13" spans="2:7" hidden="1">
      <c r="B13" s="26" t="s">
        <v>347</v>
      </c>
      <c r="C13" s="284">
        <f>VLOOKUP($B13,'[1]Otros Egresos'!$A$10:$H$90,7,0)</f>
        <v>0</v>
      </c>
      <c r="D13" s="120">
        <f>SUM('Egresos Reales'!N107)</f>
        <v>0</v>
      </c>
      <c r="E13" s="24">
        <f>SUM('Presupuesto Egresos'!N107)</f>
        <v>0</v>
      </c>
      <c r="F13" s="122">
        <f>SUM(E13-D13)</f>
        <v>0</v>
      </c>
      <c r="G13" s="15"/>
    </row>
    <row r="14" spans="2:7" hidden="1">
      <c r="B14" s="26"/>
      <c r="C14" s="284"/>
      <c r="D14" s="120"/>
      <c r="E14" s="24"/>
      <c r="F14" s="122"/>
      <c r="G14" s="15"/>
    </row>
    <row r="15" spans="2:7" hidden="1">
      <c r="B15" s="26" t="s">
        <v>348</v>
      </c>
      <c r="C15" s="284">
        <f>VLOOKUP($B15,'[1]Otros Egresos'!$A$10:$H$90,7,0)</f>
        <v>0</v>
      </c>
      <c r="D15" s="120">
        <f>SUM('Egresos Reales'!N108)</f>
        <v>0</v>
      </c>
      <c r="E15" s="24">
        <f>SUM('Presupuesto Egresos'!N108)</f>
        <v>0</v>
      </c>
      <c r="F15" s="122">
        <f>SUM(E15-D15)</f>
        <v>0</v>
      </c>
      <c r="G15" s="15"/>
    </row>
    <row r="16" spans="2:7" hidden="1">
      <c r="B16" s="26"/>
      <c r="C16" s="284"/>
      <c r="D16" s="120"/>
      <c r="E16" s="24"/>
      <c r="F16" s="122"/>
      <c r="G16" s="15"/>
    </row>
    <row r="17" spans="2:7" hidden="1">
      <c r="B17" s="26" t="s">
        <v>293</v>
      </c>
      <c r="C17" s="284">
        <f>VLOOKUP($B17,'[1]Otros Egresos'!$A$10:$H$90,7,0)</f>
        <v>0</v>
      </c>
      <c r="D17" s="120">
        <f>SUM('Egresos Reales'!N109)</f>
        <v>0</v>
      </c>
      <c r="E17" s="24">
        <f>SUM('Presupuesto Egresos'!N109)</f>
        <v>0</v>
      </c>
      <c r="F17" s="122">
        <f>SUM(E17-D17)</f>
        <v>0</v>
      </c>
      <c r="G17" s="15"/>
    </row>
    <row r="18" spans="2:7" hidden="1">
      <c r="B18" s="26"/>
      <c r="C18" s="284"/>
      <c r="D18" s="120"/>
      <c r="E18" s="24"/>
      <c r="F18" s="122"/>
      <c r="G18" s="15"/>
    </row>
    <row r="19" spans="2:7" hidden="1">
      <c r="B19" s="26" t="s">
        <v>306</v>
      </c>
      <c r="C19" s="284">
        <f>VLOOKUP($B19,'[1]Otros Egresos'!$A$10:$H$90,7,0)</f>
        <v>0</v>
      </c>
      <c r="D19" s="120">
        <f>SUM('Egresos Reales'!N110)</f>
        <v>0</v>
      </c>
      <c r="E19" s="24">
        <f>SUM('Presupuesto Egresos'!N110)</f>
        <v>0</v>
      </c>
      <c r="F19" s="122">
        <f>SUM(E19-D19)</f>
        <v>0</v>
      </c>
      <c r="G19" s="15"/>
    </row>
    <row r="20" spans="2:7" hidden="1">
      <c r="B20" s="26"/>
      <c r="C20" s="284"/>
      <c r="D20" s="120"/>
      <c r="E20" s="24"/>
      <c r="F20" s="122"/>
      <c r="G20" s="15"/>
    </row>
    <row r="21" spans="2:7" hidden="1">
      <c r="B21" s="26" t="s">
        <v>307</v>
      </c>
      <c r="C21" s="284">
        <f>VLOOKUP($B21,'[1]Otros Egresos'!$A$10:$H$90,7,0)</f>
        <v>0</v>
      </c>
      <c r="D21" s="120">
        <f>SUM('Egresos Reales'!N111)</f>
        <v>0</v>
      </c>
      <c r="E21" s="24">
        <f>SUM('Presupuesto Egresos'!N111)</f>
        <v>0</v>
      </c>
      <c r="F21" s="122">
        <f>SUM(E21-D21)</f>
        <v>0</v>
      </c>
      <c r="G21" s="15"/>
    </row>
    <row r="22" spans="2:7" hidden="1">
      <c r="B22" s="26"/>
      <c r="C22" s="284"/>
      <c r="D22" s="120"/>
      <c r="E22" s="24"/>
      <c r="F22" s="122"/>
      <c r="G22" s="15"/>
    </row>
    <row r="23" spans="2:7" hidden="1">
      <c r="B23" s="26" t="s">
        <v>343</v>
      </c>
      <c r="C23" s="284">
        <f>VLOOKUP($B23,'[1]Otros Egresos'!$A$10:$H$90,7,0)</f>
        <v>0</v>
      </c>
      <c r="D23" s="120">
        <f>SUM('Egresos Reales'!N112)</f>
        <v>0</v>
      </c>
      <c r="E23" s="24">
        <f>SUM('Presupuesto Egresos'!N112)</f>
        <v>0</v>
      </c>
      <c r="F23" s="122">
        <f>SUM(E23-D23)</f>
        <v>0</v>
      </c>
      <c r="G23" s="15"/>
    </row>
    <row r="24" spans="2:7" hidden="1">
      <c r="B24" s="26"/>
      <c r="C24" s="284"/>
      <c r="D24" s="120"/>
      <c r="E24" s="24"/>
      <c r="F24" s="122"/>
      <c r="G24" s="15"/>
    </row>
    <row r="25" spans="2:7" hidden="1">
      <c r="B25" s="26" t="s">
        <v>294</v>
      </c>
      <c r="C25" s="284">
        <f>VLOOKUP($B25,'[1]Otros Egresos'!$A$10:$H$90,7,0)</f>
        <v>0</v>
      </c>
      <c r="D25" s="120">
        <f>SUM('Egresos Reales'!N113)</f>
        <v>0</v>
      </c>
      <c r="E25" s="24">
        <f>SUM('Presupuesto Egresos'!N113)</f>
        <v>0</v>
      </c>
      <c r="F25" s="122">
        <f>SUM(E25-D25)</f>
        <v>0</v>
      </c>
      <c r="G25" s="15"/>
    </row>
    <row r="26" spans="2:7" hidden="1">
      <c r="B26" s="26"/>
      <c r="C26" s="284"/>
      <c r="D26" s="120"/>
      <c r="E26" s="24"/>
      <c r="F26" s="122"/>
      <c r="G26" s="15"/>
    </row>
    <row r="27" spans="2:7" hidden="1">
      <c r="B27" s="26" t="s">
        <v>295</v>
      </c>
      <c r="C27" s="284">
        <f>VLOOKUP($B27,'[1]Otros Egresos'!$A$10:$H$90,7,0)</f>
        <v>0</v>
      </c>
      <c r="D27" s="120">
        <f>SUM('Egresos Reales'!N114)</f>
        <v>0</v>
      </c>
      <c r="E27" s="24">
        <f>SUM('Presupuesto Egresos'!N114)</f>
        <v>0</v>
      </c>
      <c r="F27" s="122">
        <f>SUM(E27-D27)</f>
        <v>0</v>
      </c>
      <c r="G27" s="15"/>
    </row>
    <row r="28" spans="2:7" hidden="1">
      <c r="B28" s="26"/>
      <c r="C28" s="284"/>
      <c r="D28" s="120"/>
      <c r="E28" s="24"/>
      <c r="F28" s="122"/>
      <c r="G28" s="15"/>
    </row>
    <row r="29" spans="2:7" hidden="1">
      <c r="B29" s="26" t="s">
        <v>296</v>
      </c>
      <c r="C29" s="284">
        <f>VLOOKUP($B29,'[1]Otros Egresos'!$A$10:$H$90,7,0)</f>
        <v>0</v>
      </c>
      <c r="D29" s="120">
        <f>SUM('Egresos Reales'!N115)</f>
        <v>0</v>
      </c>
      <c r="E29" s="24">
        <f>SUM('Presupuesto Egresos'!N115)</f>
        <v>0</v>
      </c>
      <c r="F29" s="122">
        <f>SUM(E29-D29)</f>
        <v>0</v>
      </c>
      <c r="G29" s="15"/>
    </row>
    <row r="30" spans="2:7" hidden="1">
      <c r="B30" s="26"/>
      <c r="C30" s="284"/>
      <c r="D30" s="120"/>
      <c r="E30" s="24"/>
      <c r="F30" s="122"/>
      <c r="G30" s="15"/>
    </row>
    <row r="31" spans="2:7">
      <c r="B31" s="26" t="s">
        <v>517</v>
      </c>
      <c r="C31" s="284">
        <f>VLOOKUP($B31,'[1]Otros Egresos'!$A$10:$H$90,7,0)</f>
        <v>3274857.8699999996</v>
      </c>
      <c r="D31" s="120">
        <f>SUM('Egresos Reales'!N116)</f>
        <v>489405.57000000007</v>
      </c>
      <c r="E31" s="24">
        <f>SUM('Presupuesto Egresos'!N116)</f>
        <v>1500438.32</v>
      </c>
      <c r="F31" s="122">
        <f>SUM(E31-D31)</f>
        <v>1011032.75</v>
      </c>
      <c r="G31" s="15"/>
    </row>
    <row r="32" spans="2:7">
      <c r="B32" s="26"/>
      <c r="C32" s="284"/>
      <c r="D32" s="120"/>
      <c r="E32" s="24"/>
      <c r="F32" s="122"/>
      <c r="G32" s="15"/>
    </row>
    <row r="33" spans="2:7">
      <c r="B33" s="26" t="s">
        <v>575</v>
      </c>
      <c r="C33" s="284">
        <f>VLOOKUP($B33,'[1]Otros Egresos'!$A$10:$H$90,7,0)</f>
        <v>7154820.4000000004</v>
      </c>
      <c r="D33" s="120">
        <f>SUM('Egresos Reales'!N117)</f>
        <v>5366897.9100000011</v>
      </c>
      <c r="E33" s="24">
        <f>SUM('Presupuesto Egresos'!N117)</f>
        <v>5481959.3799999999</v>
      </c>
      <c r="F33" s="122">
        <f>SUM(E33-D33)</f>
        <v>115061.46999999881</v>
      </c>
      <c r="G33" s="15"/>
    </row>
    <row r="34" spans="2:7">
      <c r="B34" s="26"/>
      <c r="C34" s="284"/>
      <c r="D34" s="120"/>
      <c r="E34" s="24"/>
      <c r="F34" s="122"/>
      <c r="G34" s="15"/>
    </row>
    <row r="35" spans="2:7">
      <c r="B35" s="26" t="s">
        <v>356</v>
      </c>
      <c r="C35" s="284">
        <f>VLOOKUP($B35,'[1]Otros Egresos'!$A$10:$H$90,7,0)</f>
        <v>5987865.5099999998</v>
      </c>
      <c r="D35" s="120">
        <f>SUM('Egresos Reales'!N118)</f>
        <v>918628.70000000019</v>
      </c>
      <c r="E35" s="24">
        <f>SUM('Presupuesto Egresos'!N118)</f>
        <v>903909.72</v>
      </c>
      <c r="F35" s="122">
        <f>SUM(E35-D35)</f>
        <v>-14718.980000000214</v>
      </c>
      <c r="G35" s="15"/>
    </row>
    <row r="36" spans="2:7">
      <c r="B36" s="26"/>
      <c r="C36" s="284"/>
      <c r="D36" s="120"/>
      <c r="E36" s="24"/>
      <c r="F36" s="122"/>
      <c r="G36" s="15"/>
    </row>
    <row r="37" spans="2:7">
      <c r="B37" s="6" t="s">
        <v>357</v>
      </c>
      <c r="C37" s="284">
        <f>VLOOKUP($B37,'[1]Otros Egresos'!$A$10:$H$90,7,0)</f>
        <v>16356234.68</v>
      </c>
      <c r="D37" s="120">
        <f>SUM('Egresos Reales'!N119)</f>
        <v>25219352.739999998</v>
      </c>
      <c r="E37" s="24">
        <f>SUM('Presupuesto Egresos'!N119)</f>
        <v>23844373.280000001</v>
      </c>
      <c r="F37" s="122">
        <f>SUM(E37-D37)</f>
        <v>-1374979.4599999972</v>
      </c>
      <c r="G37" s="15"/>
    </row>
    <row r="38" spans="2:7">
      <c r="B38" s="6"/>
      <c r="C38" s="284"/>
      <c r="D38" s="120"/>
      <c r="E38" s="24"/>
      <c r="F38" s="122"/>
      <c r="G38" s="15"/>
    </row>
    <row r="39" spans="2:7" hidden="1">
      <c r="B39" s="6" t="s">
        <v>437</v>
      </c>
      <c r="C39" s="284">
        <f>VLOOKUP($B39,'[1]Otros Egresos'!$A$10:$H$90,7,0)</f>
        <v>0</v>
      </c>
      <c r="D39" s="120">
        <f>SUM('Egresos Reales'!N120)</f>
        <v>0</v>
      </c>
      <c r="E39" s="24">
        <f>SUM('Presupuesto Egresos'!N120)</f>
        <v>0</v>
      </c>
      <c r="F39" s="122">
        <f>SUM(E39-D39)</f>
        <v>0</v>
      </c>
      <c r="G39" s="15"/>
    </row>
    <row r="40" spans="2:7" hidden="1">
      <c r="B40" s="6"/>
      <c r="C40" s="284"/>
      <c r="D40" s="120"/>
      <c r="E40" s="24"/>
      <c r="F40" s="122"/>
      <c r="G40" s="15"/>
    </row>
    <row r="41" spans="2:7">
      <c r="B41" s="6" t="s">
        <v>518</v>
      </c>
      <c r="C41" s="284">
        <f>VLOOKUP($B41,'[1]Otros Egresos'!$A$10:$H$90,7,0)</f>
        <v>5370129.2599999998</v>
      </c>
      <c r="D41" s="120">
        <f>SUM('Egresos Reales'!N121)</f>
        <v>0</v>
      </c>
      <c r="E41" s="24">
        <f>SUM('Presupuesto Egresos'!N121)</f>
        <v>2520510.86</v>
      </c>
      <c r="F41" s="122">
        <f>SUM(E41-D41)</f>
        <v>2520510.86</v>
      </c>
      <c r="G41" s="15"/>
    </row>
    <row r="42" spans="2:7">
      <c r="B42" s="6"/>
      <c r="C42" s="284"/>
      <c r="D42" s="120"/>
      <c r="E42" s="24"/>
      <c r="F42" s="122"/>
      <c r="G42" s="15"/>
    </row>
    <row r="43" spans="2:7">
      <c r="B43" s="6" t="s">
        <v>576</v>
      </c>
      <c r="C43" s="284">
        <f>VLOOKUP($B43,'[1]Otros Egresos'!$A$10:$H$90,7,0)</f>
        <v>24496558.909999996</v>
      </c>
      <c r="D43" s="120">
        <f>SUM('Egresos Reales'!N122)</f>
        <v>12768102.699999999</v>
      </c>
      <c r="E43" s="24">
        <f>SUM('Presupuesto Egresos'!N122)</f>
        <v>16782683.269999996</v>
      </c>
      <c r="F43" s="122">
        <f>SUM(E43-D43)</f>
        <v>4014580.5699999966</v>
      </c>
      <c r="G43" s="15"/>
    </row>
    <row r="44" spans="2:7">
      <c r="B44" s="6"/>
      <c r="C44" s="15"/>
      <c r="D44" s="120"/>
      <c r="E44" s="24"/>
      <c r="F44" s="122"/>
      <c r="G44" s="15"/>
    </row>
    <row r="45" spans="2:7">
      <c r="B45" s="6" t="s">
        <v>448</v>
      </c>
      <c r="C45" s="284">
        <f>VLOOKUP($B45,'[1]Otros Egresos'!$A$10:$H$90,7,0)</f>
        <v>0</v>
      </c>
      <c r="D45" s="120">
        <f>SUM('Egresos Reales'!N123)</f>
        <v>0</v>
      </c>
      <c r="E45" s="24">
        <f>SUM('Presupuesto Egresos'!N123)</f>
        <v>0</v>
      </c>
      <c r="F45" s="122">
        <f>SUM(E45-D45)</f>
        <v>0</v>
      </c>
      <c r="G45" s="15"/>
    </row>
    <row r="46" spans="2:7">
      <c r="B46" s="6"/>
      <c r="C46" s="284"/>
      <c r="D46" s="120"/>
      <c r="E46" s="24"/>
      <c r="F46" s="122"/>
      <c r="G46" s="15"/>
    </row>
    <row r="47" spans="2:7">
      <c r="B47" s="6" t="s">
        <v>519</v>
      </c>
      <c r="C47" s="284">
        <f>VLOOKUP($B47,'[1]Otros Egresos'!$A$10:$H$90,7,0)</f>
        <v>13259304.050000001</v>
      </c>
      <c r="D47" s="120">
        <f>SUM('Egresos Reales'!N124)</f>
        <v>0</v>
      </c>
      <c r="E47" s="24">
        <f>SUM('Presupuesto Egresos'!N124)</f>
        <v>176590.46</v>
      </c>
      <c r="F47" s="122">
        <f>SUM(E47-D47)</f>
        <v>176590.46</v>
      </c>
      <c r="G47" s="15"/>
    </row>
    <row r="48" spans="2:7">
      <c r="B48" s="6"/>
      <c r="C48" s="284"/>
      <c r="D48" s="120"/>
      <c r="E48" s="24"/>
      <c r="F48" s="122"/>
      <c r="G48" s="15"/>
    </row>
    <row r="49" spans="2:7">
      <c r="B49" s="6" t="s">
        <v>577</v>
      </c>
      <c r="C49" s="284">
        <f>VLOOKUP($B49,'[1]Otros Egresos'!$A$10:$H$90,7,0)</f>
        <v>18226949.68</v>
      </c>
      <c r="D49" s="120">
        <f>SUM('Egresos Reales'!N125)</f>
        <v>9414114.209999999</v>
      </c>
      <c r="E49" s="24">
        <f>SUM('Presupuesto Egresos'!N125)</f>
        <v>9709191.4199999999</v>
      </c>
      <c r="F49" s="122">
        <f>SUM(E49-D49)</f>
        <v>295077.21000000089</v>
      </c>
      <c r="G49" s="15"/>
    </row>
    <row r="50" spans="2:7">
      <c r="B50" s="6"/>
      <c r="C50" s="284"/>
      <c r="D50" s="120"/>
      <c r="E50" s="24"/>
      <c r="F50" s="122"/>
      <c r="G50" s="15"/>
    </row>
    <row r="51" spans="2:7">
      <c r="B51" s="6" t="s">
        <v>449</v>
      </c>
      <c r="C51" s="284">
        <f>VLOOKUP($B51,'[1]Otros Egresos'!$A$10:$H$90,7,0)</f>
        <v>2033335.92</v>
      </c>
      <c r="D51" s="120">
        <f>SUM('Egresos Reales'!N126)</f>
        <v>338355.05</v>
      </c>
      <c r="E51" s="24">
        <f>SUM('Presupuesto Egresos'!N126)</f>
        <v>0</v>
      </c>
      <c r="F51" s="122">
        <f>SUM(E51-D51)</f>
        <v>-338355.05</v>
      </c>
      <c r="G51" s="15"/>
    </row>
    <row r="52" spans="2:7">
      <c r="B52" s="6"/>
      <c r="C52" s="284"/>
      <c r="D52" s="120"/>
      <c r="E52" s="24"/>
      <c r="F52" s="122"/>
      <c r="G52" s="15"/>
    </row>
    <row r="53" spans="2:7">
      <c r="B53" s="6" t="s">
        <v>520</v>
      </c>
      <c r="C53" s="284">
        <f>VLOOKUP($B53,'[1]Otros Egresos'!$A$10:$H$90,7,0)</f>
        <v>148300.44000000003</v>
      </c>
      <c r="D53" s="120">
        <f>SUM('Egresos Reales'!N127)</f>
        <v>419.49</v>
      </c>
      <c r="E53" s="24">
        <f>SUM('Presupuesto Egresos'!N127)</f>
        <v>0</v>
      </c>
      <c r="F53" s="122">
        <f>SUM(E53-D53)</f>
        <v>-419.49</v>
      </c>
      <c r="G53" s="15"/>
    </row>
    <row r="54" spans="2:7">
      <c r="B54" s="6"/>
      <c r="C54" s="284"/>
      <c r="D54" s="120"/>
      <c r="E54" s="24"/>
      <c r="F54" s="122"/>
      <c r="G54" s="15"/>
    </row>
    <row r="55" spans="2:7">
      <c r="B55" s="6" t="s">
        <v>578</v>
      </c>
      <c r="C55" s="284">
        <f>VLOOKUP($B55,'[1]Otros Egresos'!$A$10:$H$90,7,0)</f>
        <v>11831646.57</v>
      </c>
      <c r="D55" s="120">
        <f>SUM('Egresos Reales'!N128)</f>
        <v>3514500.9</v>
      </c>
      <c r="E55" s="24">
        <f>SUM('Presupuesto Egresos'!N128)</f>
        <v>0</v>
      </c>
      <c r="F55" s="122">
        <f>SUM(E55-D55)</f>
        <v>-3514500.9</v>
      </c>
      <c r="G55" s="15"/>
    </row>
    <row r="56" spans="2:7">
      <c r="B56" s="6"/>
      <c r="C56" s="284"/>
      <c r="D56" s="120"/>
      <c r="E56" s="24"/>
      <c r="F56" s="122"/>
      <c r="G56" s="15"/>
    </row>
    <row r="57" spans="2:7">
      <c r="B57" s="248" t="s">
        <v>1159</v>
      </c>
      <c r="C57" s="284">
        <v>0</v>
      </c>
      <c r="D57" s="120">
        <f>SUM('Egresos Reales'!N129)</f>
        <v>10427344.35</v>
      </c>
      <c r="E57" s="24">
        <f>SUM('Presupuesto Egresos'!N129)</f>
        <v>17520965.699999999</v>
      </c>
      <c r="F57" s="122">
        <f>SUM(E57-D57)</f>
        <v>7093621.3499999996</v>
      </c>
      <c r="G57" s="15"/>
    </row>
    <row r="58" spans="2:7" hidden="1">
      <c r="B58" s="6"/>
      <c r="C58" s="284"/>
      <c r="D58" s="120"/>
      <c r="E58" s="24"/>
      <c r="F58" s="122"/>
      <c r="G58" s="15"/>
    </row>
    <row r="59" spans="2:7" hidden="1">
      <c r="B59" s="6" t="s">
        <v>450</v>
      </c>
      <c r="C59" s="284">
        <f>VLOOKUP($B59,'[1]Otros Egresos'!$A$10:$H$90,7,0)</f>
        <v>0</v>
      </c>
      <c r="D59" s="120">
        <f>SUM('Egresos Reales'!N130)</f>
        <v>0</v>
      </c>
      <c r="E59" s="24">
        <f>SUM('Presupuesto Egresos'!N130)</f>
        <v>0</v>
      </c>
      <c r="F59" s="122">
        <f>SUM(E59-D59)</f>
        <v>0</v>
      </c>
      <c r="G59" s="15"/>
    </row>
    <row r="60" spans="2:7" hidden="1">
      <c r="B60" s="6"/>
      <c r="C60" s="284"/>
      <c r="D60" s="120"/>
      <c r="E60" s="24"/>
      <c r="F60" s="122"/>
      <c r="G60" s="15"/>
    </row>
    <row r="61" spans="2:7" hidden="1">
      <c r="B61" s="6" t="s">
        <v>461</v>
      </c>
      <c r="C61" s="284">
        <f>VLOOKUP($B61,'[1]Otros Egresos'!$A$10:$H$90,7,0)</f>
        <v>0</v>
      </c>
      <c r="D61" s="120">
        <f>SUM('Egresos Reales'!N131)</f>
        <v>0</v>
      </c>
      <c r="E61" s="24">
        <f>SUM('Presupuesto Egresos'!N131)</f>
        <v>0</v>
      </c>
      <c r="F61" s="122">
        <f>SUM(E61-D61)</f>
        <v>0</v>
      </c>
      <c r="G61" s="15"/>
    </row>
    <row r="62" spans="2:7">
      <c r="B62" s="6"/>
      <c r="C62" s="284"/>
      <c r="D62" s="120"/>
      <c r="E62" s="24"/>
      <c r="F62" s="122"/>
      <c r="G62" s="15"/>
    </row>
    <row r="63" spans="2:7">
      <c r="B63" s="6" t="s">
        <v>522</v>
      </c>
      <c r="C63" s="284">
        <f>VLOOKUP($B63,'[1]Otros Egresos'!$A$10:$H$90,7,0)</f>
        <v>518286.02</v>
      </c>
      <c r="D63" s="120">
        <f>SUM('Egresos Reales'!N132)</f>
        <v>764196.2</v>
      </c>
      <c r="E63" s="24">
        <f>SUM('Presupuesto Egresos'!N132)</f>
        <v>764196.2</v>
      </c>
      <c r="F63" s="122">
        <f>SUM(E63-D63)</f>
        <v>0</v>
      </c>
      <c r="G63" s="15"/>
    </row>
    <row r="64" spans="2:7">
      <c r="B64" s="6"/>
      <c r="C64" s="284"/>
      <c r="D64" s="120"/>
      <c r="E64" s="24"/>
      <c r="F64" s="122"/>
      <c r="G64" s="15"/>
    </row>
    <row r="65" spans="2:7">
      <c r="B65" s="6" t="s">
        <v>607</v>
      </c>
      <c r="C65" s="284">
        <f>VLOOKUP($B65,'[1]Otros Egresos'!$A$10:$H$90,7,0)</f>
        <v>5673744.8300000001</v>
      </c>
      <c r="D65" s="120">
        <f>SUM('Egresos Reales'!N133)</f>
        <v>6364602.4000000004</v>
      </c>
      <c r="E65" s="24">
        <f>SUM('Presupuesto Egresos'!N133)</f>
        <v>6607203.0499999998</v>
      </c>
      <c r="F65" s="122">
        <f>SUM(E65-D65)</f>
        <v>242600.64999999944</v>
      </c>
      <c r="G65" s="15"/>
    </row>
    <row r="66" spans="2:7">
      <c r="B66" s="6"/>
      <c r="C66" s="284"/>
      <c r="D66" s="120"/>
      <c r="E66" s="24"/>
      <c r="F66" s="122"/>
      <c r="G66" s="15"/>
    </row>
    <row r="67" spans="2:7">
      <c r="B67" s="6" t="s">
        <v>1167</v>
      </c>
      <c r="C67" s="284">
        <v>0</v>
      </c>
      <c r="D67" s="120">
        <f>SUM('Egresos Reales'!N134)</f>
        <v>6065595.8200000003</v>
      </c>
      <c r="E67" s="24">
        <f>SUM('Presupuesto Egresos'!N134)</f>
        <v>10333443.869999999</v>
      </c>
      <c r="F67" s="122">
        <f>SUM(E67-D67)</f>
        <v>4267848.0499999989</v>
      </c>
      <c r="G67" s="15"/>
    </row>
    <row r="68" spans="2:7">
      <c r="B68" s="6"/>
      <c r="C68" s="284"/>
      <c r="D68" s="120"/>
      <c r="E68" s="24"/>
      <c r="F68" s="122"/>
      <c r="G68" s="15"/>
    </row>
    <row r="69" spans="2:7" hidden="1">
      <c r="B69" s="6" t="s">
        <v>533</v>
      </c>
      <c r="C69" s="284">
        <f>VLOOKUP($B69,'[1]Otros Egresos'!$A$10:$H$90,7,0)</f>
        <v>0</v>
      </c>
      <c r="D69" s="120">
        <f>SUM('Egresos Reales'!N135)</f>
        <v>0</v>
      </c>
      <c r="E69" s="24">
        <f>SUM('Presupuesto Egresos'!N135)</f>
        <v>0</v>
      </c>
      <c r="F69" s="122">
        <f>SUM(E69-D69)</f>
        <v>0</v>
      </c>
      <c r="G69" s="15"/>
    </row>
    <row r="70" spans="2:7" hidden="1">
      <c r="B70" s="6"/>
      <c r="C70" s="284"/>
      <c r="D70" s="120"/>
      <c r="E70" s="24"/>
      <c r="F70" s="122"/>
      <c r="G70" s="15"/>
    </row>
    <row r="71" spans="2:7">
      <c r="B71" s="6" t="s">
        <v>474</v>
      </c>
      <c r="C71" s="284">
        <f>VLOOKUP($B71,'[1]Otros Egresos'!$A$10:$H$90,7,0)</f>
        <v>0</v>
      </c>
      <c r="D71" s="120">
        <f>SUM('Egresos Reales'!N136)</f>
        <v>0</v>
      </c>
      <c r="E71" s="24">
        <f>SUM('Presupuesto Egresos'!N136)</f>
        <v>8708280.6799999997</v>
      </c>
      <c r="F71" s="122">
        <f>SUM(E71-D71)</f>
        <v>8708280.6799999997</v>
      </c>
      <c r="G71" s="15"/>
    </row>
    <row r="72" spans="2:7">
      <c r="B72" s="6"/>
      <c r="C72" s="284"/>
      <c r="D72" s="120"/>
      <c r="E72" s="24"/>
      <c r="F72" s="122"/>
      <c r="G72" s="15"/>
    </row>
    <row r="73" spans="2:7">
      <c r="B73" s="6" t="s">
        <v>574</v>
      </c>
      <c r="C73" s="284">
        <f>VLOOKUP($B73,'[1]Otros Egresos'!$A$10:$H$90,7,0)</f>
        <v>0</v>
      </c>
      <c r="D73" s="120">
        <f>SUM('Egresos Reales'!N137)</f>
        <v>5814751.4699999997</v>
      </c>
      <c r="E73" s="24">
        <f>SUM('Presupuesto Egresos'!N137)</f>
        <v>0</v>
      </c>
      <c r="F73" s="122">
        <f>SUM(E73-D73)</f>
        <v>-5814751.4699999997</v>
      </c>
      <c r="G73" s="15"/>
    </row>
    <row r="74" spans="2:7">
      <c r="B74" s="6"/>
      <c r="C74" s="284"/>
      <c r="D74" s="120"/>
      <c r="E74" s="24"/>
      <c r="F74" s="122"/>
      <c r="G74" s="15"/>
    </row>
    <row r="75" spans="2:7">
      <c r="B75" s="6" t="s">
        <v>1169</v>
      </c>
      <c r="C75" s="284">
        <v>0</v>
      </c>
      <c r="D75" s="120">
        <f>SUM('Egresos Reales'!N138)</f>
        <v>4074463.17</v>
      </c>
      <c r="E75" s="24">
        <f>SUM('Presupuesto Egresos'!N138)</f>
        <v>5464490.29</v>
      </c>
      <c r="F75" s="122">
        <f>SUM(E75-D75)</f>
        <v>1390027.12</v>
      </c>
      <c r="G75" s="15"/>
    </row>
    <row r="76" spans="2:7">
      <c r="B76" s="6"/>
      <c r="C76" s="284"/>
      <c r="D76" s="120"/>
      <c r="E76" s="24"/>
      <c r="F76" s="122"/>
      <c r="G76" s="15"/>
    </row>
    <row r="77" spans="2:7">
      <c r="B77" s="6" t="s">
        <v>531</v>
      </c>
      <c r="C77" s="284">
        <f>VLOOKUP($B77,'[1]Otros Egresos'!$A$10:$H$90,7,0)</f>
        <v>0</v>
      </c>
      <c r="D77" s="120">
        <f>SUM('Egresos Reales'!N139)</f>
        <v>0</v>
      </c>
      <c r="E77" s="24">
        <f>SUM('Presupuesto Egresos'!N139)</f>
        <v>4026184.24</v>
      </c>
      <c r="F77" s="122">
        <f>SUM(E77-D77)</f>
        <v>4026184.24</v>
      </c>
      <c r="G77" s="15"/>
    </row>
    <row r="78" spans="2:7">
      <c r="B78" s="6"/>
      <c r="C78" s="284"/>
      <c r="D78" s="120"/>
      <c r="E78" s="24"/>
      <c r="F78" s="122"/>
      <c r="G78" s="15"/>
    </row>
    <row r="79" spans="2:7">
      <c r="B79" s="6" t="s">
        <v>548</v>
      </c>
      <c r="C79" s="284">
        <f>VLOOKUP($B79,'[1]Otros Egresos'!$A$10:$H$90,7,0)</f>
        <v>11176678.18</v>
      </c>
      <c r="D79" s="120">
        <f>SUM('Egresos Reales'!N140)</f>
        <v>0</v>
      </c>
      <c r="E79" s="24">
        <f>SUM('Presupuesto Egresos'!N140)</f>
        <v>0</v>
      </c>
      <c r="F79" s="122">
        <f>SUM(E79-D79)</f>
        <v>0</v>
      </c>
      <c r="G79" s="15"/>
    </row>
    <row r="80" spans="2:7">
      <c r="B80" s="7"/>
      <c r="C80" s="285"/>
      <c r="D80" s="123"/>
      <c r="E80" s="25"/>
      <c r="F80" s="117"/>
      <c r="G80" s="18"/>
    </row>
    <row r="81" spans="2:7">
      <c r="B81" s="6" t="s">
        <v>1163</v>
      </c>
      <c r="C81" s="284">
        <v>0</v>
      </c>
      <c r="D81" s="120">
        <f>SUM('Egresos Reales'!N141)</f>
        <v>51668897.219999999</v>
      </c>
      <c r="E81" s="24">
        <f>SUM('Presupuesto Egresos'!N141)</f>
        <v>68762118.230000004</v>
      </c>
      <c r="F81" s="122">
        <f>SUM(E81-D81)</f>
        <v>17093221.010000005</v>
      </c>
      <c r="G81" s="15"/>
    </row>
    <row r="82" spans="2:7">
      <c r="B82" s="6"/>
      <c r="C82" s="284"/>
      <c r="D82" s="120"/>
      <c r="E82" s="24"/>
      <c r="F82" s="122"/>
      <c r="G82" s="15"/>
    </row>
    <row r="83" spans="2:7">
      <c r="B83" s="6" t="s">
        <v>417</v>
      </c>
      <c r="C83" s="284">
        <f>VLOOKUP($B83,'[1]Otros Egresos'!$A$10:$H$90,7,0)</f>
        <v>5977193.9700000007</v>
      </c>
      <c r="D83" s="120">
        <f>SUM('Egresos Reales'!N142)</f>
        <v>0</v>
      </c>
      <c r="E83" s="24">
        <f>SUM('Presupuesto Egresos'!N142)</f>
        <v>0</v>
      </c>
      <c r="F83" s="122">
        <f>SUM(E83-D83)</f>
        <v>0</v>
      </c>
      <c r="G83" s="15"/>
    </row>
    <row r="84" spans="2:7">
      <c r="B84" s="6"/>
      <c r="C84" s="284"/>
      <c r="D84" s="120"/>
      <c r="E84" s="24"/>
      <c r="F84" s="122"/>
      <c r="G84" s="15"/>
    </row>
    <row r="85" spans="2:7" hidden="1">
      <c r="B85" s="6" t="s">
        <v>534</v>
      </c>
      <c r="C85" s="284">
        <f>VLOOKUP($B85,'[1]Otros Egresos'!$A$10:$H$90,7,0)</f>
        <v>0</v>
      </c>
      <c r="D85" s="120">
        <f>SUM('Egresos Reales'!N143)</f>
        <v>0</v>
      </c>
      <c r="E85" s="24">
        <f>SUM('Presupuesto Egresos'!N143)</f>
        <v>0</v>
      </c>
      <c r="F85" s="122">
        <f>SUM(E85-D85)</f>
        <v>0</v>
      </c>
      <c r="G85" s="15"/>
    </row>
    <row r="86" spans="2:7" hidden="1">
      <c r="B86" s="6"/>
      <c r="C86" s="284"/>
      <c r="D86" s="120"/>
      <c r="E86" s="24"/>
      <c r="F86" s="122"/>
      <c r="G86" s="15"/>
    </row>
    <row r="87" spans="2:7">
      <c r="B87" s="6" t="s">
        <v>608</v>
      </c>
      <c r="C87" s="284">
        <f>VLOOKUP($B87,'[1]Otros Egresos'!$A$10:$H$90,7,0)</f>
        <v>1451241.17</v>
      </c>
      <c r="D87" s="120">
        <f>SUM('Egresos Reales'!N144)</f>
        <v>890494.41999999993</v>
      </c>
      <c r="E87" s="24">
        <f>SUM('Presupuesto Egresos'!N144)</f>
        <v>5708592.4800000004</v>
      </c>
      <c r="F87" s="122">
        <f>SUM(E87-D87)</f>
        <v>4818098.0600000005</v>
      </c>
      <c r="G87" s="15"/>
    </row>
    <row r="88" spans="2:7">
      <c r="B88" s="6"/>
      <c r="C88" s="284"/>
      <c r="D88" s="120"/>
      <c r="E88" s="24"/>
      <c r="F88" s="122"/>
      <c r="G88" s="15"/>
    </row>
    <row r="89" spans="2:7">
      <c r="B89" s="6" t="s">
        <v>1172</v>
      </c>
      <c r="C89" s="284">
        <v>0</v>
      </c>
      <c r="D89" s="120">
        <f>SUM('Egresos Reales'!N145)</f>
        <v>4318379.2</v>
      </c>
      <c r="E89" s="24">
        <f>SUM('Presupuesto Egresos'!N145)</f>
        <v>747378.03</v>
      </c>
      <c r="F89" s="122">
        <f>SUM(E89-D89)</f>
        <v>-3571001.17</v>
      </c>
      <c r="G89" s="15"/>
    </row>
    <row r="90" spans="2:7">
      <c r="B90" s="6"/>
      <c r="C90" s="284"/>
      <c r="D90" s="120"/>
      <c r="E90" s="24"/>
      <c r="F90" s="122"/>
      <c r="G90" s="15"/>
    </row>
    <row r="91" spans="2:7">
      <c r="B91" s="6" t="s">
        <v>579</v>
      </c>
      <c r="C91" s="284">
        <f>VLOOKUP($B91,'[1]Otros Egresos'!$A$10:$H$90,7,0)</f>
        <v>3674442.6600000006</v>
      </c>
      <c r="D91" s="120">
        <f>SUM('Egresos Reales'!N146)</f>
        <v>747378.03</v>
      </c>
      <c r="E91" s="24">
        <f>SUM('Presupuesto Egresos'!N146)</f>
        <v>0</v>
      </c>
      <c r="F91" s="122">
        <f>SUM(E91-D91)</f>
        <v>-747378.03</v>
      </c>
      <c r="G91" s="15"/>
    </row>
    <row r="92" spans="2:7">
      <c r="B92" s="6"/>
      <c r="C92" s="284"/>
      <c r="D92" s="120"/>
      <c r="E92" s="24"/>
      <c r="F92" s="122"/>
      <c r="G92" s="15"/>
    </row>
    <row r="93" spans="2:7">
      <c r="B93" s="6" t="s">
        <v>599</v>
      </c>
      <c r="C93" s="284">
        <f>VLOOKUP($B93,'[1]Otros Egresos'!$A$10:$H$90,7,0)</f>
        <v>295952.89</v>
      </c>
      <c r="D93" s="120">
        <f>SUM('Egresos Reales'!N147)</f>
        <v>0</v>
      </c>
      <c r="E93" s="24">
        <f>SUM('Presupuesto Egresos'!N146)</f>
        <v>0</v>
      </c>
      <c r="F93" s="122">
        <f>SUM(E93-D93)</f>
        <v>0</v>
      </c>
      <c r="G93" s="15"/>
    </row>
    <row r="94" spans="2:7">
      <c r="B94" s="6"/>
      <c r="C94" s="284"/>
      <c r="D94" s="120"/>
      <c r="E94" s="24"/>
      <c r="F94" s="122"/>
      <c r="G94" s="15"/>
    </row>
    <row r="95" spans="2:7" hidden="1">
      <c r="B95" s="246" t="s">
        <v>609</v>
      </c>
      <c r="C95" s="284">
        <f>VLOOKUP($B95,'[1]Otros Egresos'!$A$10:$H$90,7,0)</f>
        <v>0</v>
      </c>
      <c r="D95" s="120">
        <f>SUM('Egresos Reales'!N148)</f>
        <v>0</v>
      </c>
      <c r="E95" s="24">
        <f>SUM('Presupuesto Egresos'!N147)</f>
        <v>0</v>
      </c>
      <c r="F95" s="122">
        <f>SUM(E95-D95)</f>
        <v>0</v>
      </c>
      <c r="G95" s="15"/>
    </row>
    <row r="96" spans="2:7" hidden="1">
      <c r="B96" s="6"/>
      <c r="C96" s="284"/>
      <c r="D96" s="120"/>
      <c r="E96" s="24"/>
      <c r="F96" s="122"/>
      <c r="G96" s="15"/>
    </row>
    <row r="97" spans="2:7">
      <c r="B97" s="246" t="s">
        <v>610</v>
      </c>
      <c r="C97" s="284">
        <f>VLOOKUP($B97,'[1]Otros Egresos'!$A$10:$H$90,7,0)</f>
        <v>2463583.5299999998</v>
      </c>
      <c r="D97" s="120">
        <f>SUM('Egresos Reales'!N149)</f>
        <v>7315460.7799999993</v>
      </c>
      <c r="E97" s="24">
        <f>SUM('Presupuesto Egresos'!N148)</f>
        <v>8105845.29</v>
      </c>
      <c r="F97" s="122">
        <f>SUM(E97-D97)</f>
        <v>790384.51000000071</v>
      </c>
      <c r="G97" s="15"/>
    </row>
    <row r="98" spans="2:7">
      <c r="B98" s="6"/>
      <c r="C98" s="284"/>
      <c r="D98" s="120"/>
      <c r="E98" s="24"/>
      <c r="F98" s="122"/>
      <c r="G98" s="15"/>
    </row>
    <row r="99" spans="2:7">
      <c r="B99" s="246" t="s">
        <v>611</v>
      </c>
      <c r="C99" s="284">
        <f>VLOOKUP($B99,'[1]Otros Egresos'!$A$10:$H$90,7,0)</f>
        <v>0</v>
      </c>
      <c r="D99" s="120">
        <f>SUM('Egresos Reales'!N150)</f>
        <v>22562797.640000001</v>
      </c>
      <c r="E99" s="24">
        <f>SUM('Presupuesto Egresos'!N149)</f>
        <v>23575024.399999999</v>
      </c>
      <c r="F99" s="122">
        <f>SUM(E99-D99)</f>
        <v>1012226.7599999979</v>
      </c>
      <c r="G99" s="15"/>
    </row>
    <row r="100" spans="2:7">
      <c r="B100" s="246"/>
      <c r="C100" s="284"/>
      <c r="D100" s="120"/>
      <c r="E100" s="24"/>
      <c r="F100" s="122"/>
      <c r="G100" s="15"/>
    </row>
    <row r="101" spans="2:7">
      <c r="B101" s="6" t="s">
        <v>1160</v>
      </c>
      <c r="C101" s="284">
        <v>0</v>
      </c>
      <c r="D101" s="120">
        <f>SUM('Egresos Reales'!N151)</f>
        <v>31959409.649999999</v>
      </c>
      <c r="E101" s="24">
        <f>SUM('Presupuesto Egresos'!N150)</f>
        <v>41811018.960000001</v>
      </c>
      <c r="F101" s="122">
        <f>SUM(E101-D101)</f>
        <v>9851609.3100000024</v>
      </c>
      <c r="G101" s="15"/>
    </row>
    <row r="102" spans="2:7">
      <c r="B102" s="6"/>
      <c r="C102" s="284"/>
      <c r="D102" s="120"/>
      <c r="E102" s="24"/>
      <c r="F102" s="122"/>
      <c r="G102" s="15"/>
    </row>
    <row r="103" spans="2:7">
      <c r="B103" s="6" t="s">
        <v>1161</v>
      </c>
      <c r="C103" s="284">
        <v>0</v>
      </c>
      <c r="D103" s="120">
        <f>SUM('Egresos Reales'!N152)</f>
        <v>7153448.4800000004</v>
      </c>
      <c r="E103" s="24">
        <f>SUM('Presupuesto Egresos'!N151)</f>
        <v>7888045.4100000001</v>
      </c>
      <c r="F103" s="122">
        <f>SUM(E103-D103)</f>
        <v>734596.9299999997</v>
      </c>
      <c r="G103" s="15"/>
    </row>
    <row r="104" spans="2:7" ht="13.5" thickBot="1">
      <c r="B104" s="6"/>
      <c r="C104" s="159"/>
      <c r="D104" s="120"/>
      <c r="E104" s="24"/>
      <c r="F104" s="122"/>
      <c r="G104" s="15"/>
    </row>
    <row r="105" spans="2:7" ht="22.5" customHeight="1" thickBot="1">
      <c r="B105" s="426" t="s">
        <v>4</v>
      </c>
      <c r="C105" s="452">
        <f>SUM(C8:C99)</f>
        <v>141858578.69999996</v>
      </c>
      <c r="D105" s="452">
        <f>SUM(D8:D104)</f>
        <v>219585163.64999998</v>
      </c>
      <c r="E105" s="452">
        <f>SUM(E8:E104)</f>
        <v>274199203.54000002</v>
      </c>
      <c r="F105" s="452">
        <f>SUM(F8:F104)</f>
        <v>54614039.890000001</v>
      </c>
      <c r="G105" s="457"/>
    </row>
    <row r="106" spans="2:7">
      <c r="B106" s="13"/>
      <c r="C106" s="14"/>
      <c r="D106" s="14"/>
      <c r="E106" s="14"/>
      <c r="F106" s="14"/>
      <c r="G106" s="15"/>
    </row>
    <row r="107" spans="2:7">
      <c r="B107" s="16"/>
      <c r="C107" s="17"/>
      <c r="D107" s="17"/>
      <c r="E107" s="17"/>
      <c r="F107" s="17"/>
      <c r="G107" s="18"/>
    </row>
  </sheetData>
  <mergeCells count="4">
    <mergeCell ref="B2:G2"/>
    <mergeCell ref="B3:G3"/>
    <mergeCell ref="C5:D5"/>
    <mergeCell ref="B1:G1"/>
  </mergeCells>
  <phoneticPr fontId="7" type="noConversion"/>
  <printOptions horizontalCentered="1"/>
  <pageMargins left="0.19685039370078741" right="0.19685039370078741" top="0.55118110236220474" bottom="0.19685039370078741" header="0" footer="0"/>
  <pageSetup scale="85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295"/>
  <sheetViews>
    <sheetView view="pageBreakPreview" zoomScale="75" zoomScaleNormal="75" zoomScaleSheetLayoutView="75" workbookViewId="0">
      <selection activeCell="A5" sqref="A5:N5"/>
    </sheetView>
  </sheetViews>
  <sheetFormatPr baseColWidth="10" defaultRowHeight="12.75"/>
  <cols>
    <col min="1" max="1" width="66.42578125" customWidth="1"/>
    <col min="2" max="6" width="15.5703125" bestFit="1" customWidth="1"/>
    <col min="7" max="7" width="15.140625" bestFit="1" customWidth="1"/>
    <col min="8" max="11" width="15.5703125" bestFit="1" customWidth="1"/>
    <col min="12" max="12" width="16.140625" customWidth="1"/>
    <col min="13" max="13" width="15.140625" bestFit="1" customWidth="1"/>
    <col min="14" max="14" width="17.42578125" bestFit="1" customWidth="1"/>
    <col min="15" max="16" width="13.7109375" bestFit="1" customWidth="1"/>
  </cols>
  <sheetData>
    <row r="1" spans="1:16" ht="15.75">
      <c r="A1" s="336" t="s">
        <v>366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16" ht="15.75">
      <c r="A2" s="336" t="s">
        <v>340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1:16" ht="15.75">
      <c r="A3" s="336" t="s">
        <v>1134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16" ht="16.5" thickBot="1">
      <c r="A4" s="29"/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</row>
    <row r="5" spans="1:16" ht="27.75" customHeight="1" thickBot="1">
      <c r="A5" s="593"/>
      <c r="B5" s="594" t="s">
        <v>6</v>
      </c>
      <c r="C5" s="594" t="s">
        <v>7</v>
      </c>
      <c r="D5" s="594" t="s">
        <v>8</v>
      </c>
      <c r="E5" s="594" t="s">
        <v>9</v>
      </c>
      <c r="F5" s="594" t="s">
        <v>10</v>
      </c>
      <c r="G5" s="594" t="s">
        <v>11</v>
      </c>
      <c r="H5" s="594" t="s">
        <v>12</v>
      </c>
      <c r="I5" s="594" t="s">
        <v>13</v>
      </c>
      <c r="J5" s="594" t="s">
        <v>77</v>
      </c>
      <c r="K5" s="594" t="s">
        <v>14</v>
      </c>
      <c r="L5" s="594" t="s">
        <v>78</v>
      </c>
      <c r="M5" s="594" t="s">
        <v>15</v>
      </c>
      <c r="N5" s="595" t="s">
        <v>79</v>
      </c>
    </row>
    <row r="6" spans="1:16" ht="25.5" customHeight="1" thickBot="1">
      <c r="A6" s="587" t="s">
        <v>76</v>
      </c>
      <c r="B6" s="588">
        <v>28746233.82</v>
      </c>
      <c r="C6" s="589">
        <f t="shared" ref="C6:M6" si="0">SUM(B292)</f>
        <v>68703655.689999983</v>
      </c>
      <c r="D6" s="589">
        <f t="shared" si="0"/>
        <v>111697055.20999998</v>
      </c>
      <c r="E6" s="589">
        <f t="shared" si="0"/>
        <v>102691243.87999998</v>
      </c>
      <c r="F6" s="589">
        <f t="shared" si="0"/>
        <v>110673667.61</v>
      </c>
      <c r="G6" s="589">
        <f t="shared" si="0"/>
        <v>96603062.420000017</v>
      </c>
      <c r="H6" s="589">
        <f t="shared" si="0"/>
        <v>85231970.400000006</v>
      </c>
      <c r="I6" s="589">
        <f t="shared" si="0"/>
        <v>67067302.259999976</v>
      </c>
      <c r="J6" s="589">
        <f t="shared" si="0"/>
        <v>90944273.109999955</v>
      </c>
      <c r="K6" s="589">
        <f t="shared" si="0"/>
        <v>79362648.299999982</v>
      </c>
      <c r="L6" s="589">
        <f t="shared" si="0"/>
        <v>78777957.119999975</v>
      </c>
      <c r="M6" s="589">
        <f t="shared" si="0"/>
        <v>51733690.929999962</v>
      </c>
      <c r="N6" s="588">
        <f>+B6</f>
        <v>28746233.82</v>
      </c>
    </row>
    <row r="7" spans="1:16">
      <c r="A7" s="14"/>
      <c r="B7" s="572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7"/>
    </row>
    <row r="8" spans="1:16">
      <c r="A8" s="91" t="s">
        <v>39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P8" s="30"/>
    </row>
    <row r="9" spans="1:16">
      <c r="A9" s="92"/>
      <c r="B9" s="573"/>
      <c r="C9" s="573"/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573"/>
      <c r="P9" s="30"/>
    </row>
    <row r="10" spans="1:16">
      <c r="A10" s="86" t="s">
        <v>18</v>
      </c>
      <c r="B10" s="574"/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P10" s="30"/>
    </row>
    <row r="11" spans="1:16">
      <c r="A11" s="52" t="s">
        <v>80</v>
      </c>
      <c r="B11" s="87">
        <f>SUM('Ingresos Reales'!B7)</f>
        <v>55031871</v>
      </c>
      <c r="C11" s="87">
        <f>SUM('Ingresos Reales'!C7)</f>
        <v>13433554</v>
      </c>
      <c r="D11" s="87">
        <f>SUM('Ingresos Reales'!D7)</f>
        <v>5346366</v>
      </c>
      <c r="E11" s="87">
        <f>SUM('Ingresos Reales'!E7)</f>
        <v>2461491</v>
      </c>
      <c r="F11" s="87">
        <f>SUM('Ingresos Reales'!F7)</f>
        <v>3471172</v>
      </c>
      <c r="G11" s="87">
        <f>SUM('Ingresos Reales'!G7)</f>
        <v>4502550</v>
      </c>
      <c r="H11" s="87">
        <f>SUM('Ingresos Reales'!H7)</f>
        <v>2856936</v>
      </c>
      <c r="I11" s="87">
        <f>SUM('Ingresos Reales'!I7)</f>
        <v>3138106</v>
      </c>
      <c r="J11" s="87">
        <f>SUM('Ingresos Reales'!J7)</f>
        <v>2045086</v>
      </c>
      <c r="K11" s="87">
        <f>SUM('Ingresos Reales'!K7)</f>
        <v>1864625</v>
      </c>
      <c r="L11" s="87">
        <f>SUM('Ingresos Reales'!L7)</f>
        <v>2455073</v>
      </c>
      <c r="M11" s="87">
        <f>SUM('Ingresos Reales'!M7)</f>
        <v>3262062</v>
      </c>
      <c r="N11" s="87">
        <f t="shared" ref="N11:N16" si="1">SUM(B11:M11)</f>
        <v>99868892</v>
      </c>
      <c r="P11" s="30"/>
    </row>
    <row r="12" spans="1:16">
      <c r="A12" s="52" t="s">
        <v>276</v>
      </c>
      <c r="B12" s="87">
        <f>SUM('Ingresos Reales'!B8)</f>
        <v>9253164.3499999996</v>
      </c>
      <c r="C12" s="87">
        <f>SUM('Ingresos Reales'!C8)</f>
        <v>7475660.2400000002</v>
      </c>
      <c r="D12" s="87">
        <f>SUM('Ingresos Reales'!D8)</f>
        <v>5441293.6799999997</v>
      </c>
      <c r="E12" s="87">
        <f>SUM('Ingresos Reales'!E8)</f>
        <v>8103198.96</v>
      </c>
      <c r="F12" s="87">
        <f>SUM('Ingresos Reales'!F8)</f>
        <v>7725950.7400000002</v>
      </c>
      <c r="G12" s="87">
        <f>SUM('Ingresos Reales'!G8)</f>
        <v>6051737.6299999999</v>
      </c>
      <c r="H12" s="87">
        <f>SUM('Ingresos Reales'!H8)</f>
        <v>8471051.9199999999</v>
      </c>
      <c r="I12" s="87">
        <f>SUM('Ingresos Reales'!I8)</f>
        <v>9703476.0600000005</v>
      </c>
      <c r="J12" s="87">
        <f>SUM('Ingresos Reales'!J8)</f>
        <v>6180660.4500000002</v>
      </c>
      <c r="K12" s="87">
        <f>SUM('Ingresos Reales'!K8)</f>
        <v>6902619.9199999999</v>
      </c>
      <c r="L12" s="87">
        <f>SUM('Ingresos Reales'!L8)</f>
        <v>8627302.3800000008</v>
      </c>
      <c r="M12" s="87">
        <f>SUM('Ingresos Reales'!M8)</f>
        <v>32356195.370000001</v>
      </c>
      <c r="N12" s="87">
        <f t="shared" si="1"/>
        <v>116292311.7</v>
      </c>
      <c r="P12" s="30"/>
    </row>
    <row r="13" spans="1:16">
      <c r="A13" s="52" t="s">
        <v>277</v>
      </c>
      <c r="B13" s="87">
        <f>SUM('Ingresos Reales'!B9)</f>
        <v>432</v>
      </c>
      <c r="C13" s="87">
        <f>SUM('Ingresos Reales'!C9)</f>
        <v>2908</v>
      </c>
      <c r="D13" s="87">
        <f>SUM('Ingresos Reales'!D9)</f>
        <v>3430</v>
      </c>
      <c r="E13" s="87">
        <f>SUM('Ingresos Reales'!E9)</f>
        <v>12957.55</v>
      </c>
      <c r="F13" s="87">
        <f>SUM('Ingresos Reales'!F9)</f>
        <v>6740</v>
      </c>
      <c r="G13" s="87">
        <f>SUM('Ingresos Reales'!G9)</f>
        <v>3448</v>
      </c>
      <c r="H13" s="87">
        <f>SUM('Ingresos Reales'!H9)</f>
        <v>0</v>
      </c>
      <c r="I13" s="87">
        <f>SUM('Ingresos Reales'!I9)</f>
        <v>5984</v>
      </c>
      <c r="J13" s="87">
        <f>SUM('Ingresos Reales'!J9)</f>
        <v>22826.35</v>
      </c>
      <c r="K13" s="87">
        <f>SUM('Ingresos Reales'!K9)</f>
        <v>2004</v>
      </c>
      <c r="L13" s="87">
        <f>SUM('Ingresos Reales'!L9)</f>
        <v>9463</v>
      </c>
      <c r="M13" s="87">
        <f>SUM('Ingresos Reales'!M9)</f>
        <v>5090.5</v>
      </c>
      <c r="N13" s="87">
        <f t="shared" si="1"/>
        <v>75283.399999999994</v>
      </c>
    </row>
    <row r="14" spans="1:16">
      <c r="A14" s="52" t="s">
        <v>81</v>
      </c>
      <c r="B14" s="87">
        <f>SUM('Ingresos Reales'!B10)</f>
        <v>0</v>
      </c>
      <c r="C14" s="87">
        <f>SUM('Ingresos Reales'!C10)</f>
        <v>0</v>
      </c>
      <c r="D14" s="87">
        <f>SUM('Ingresos Reales'!D10)</f>
        <v>0</v>
      </c>
      <c r="E14" s="87">
        <f>SUM('Ingresos Reales'!E10)</f>
        <v>0</v>
      </c>
      <c r="F14" s="87">
        <f>SUM('Ingresos Reales'!F10)</f>
        <v>0</v>
      </c>
      <c r="G14" s="87">
        <f>SUM('Ingresos Reales'!G10)</f>
        <v>0</v>
      </c>
      <c r="H14" s="87">
        <f>SUM('Ingresos Reales'!H10)</f>
        <v>0</v>
      </c>
      <c r="I14" s="87">
        <f>SUM('Ingresos Reales'!I10)</f>
        <v>0</v>
      </c>
      <c r="J14" s="87">
        <f>SUM('Ingresos Reales'!J10)</f>
        <v>0</v>
      </c>
      <c r="K14" s="87">
        <f>SUM('Ingresos Reales'!K10)</f>
        <v>0</v>
      </c>
      <c r="L14" s="87">
        <f>SUM('Ingresos Reales'!L10)</f>
        <v>0</v>
      </c>
      <c r="M14" s="87">
        <f>SUM('Ingresos Reales'!M10)</f>
        <v>0</v>
      </c>
      <c r="N14" s="87">
        <f t="shared" si="1"/>
        <v>0</v>
      </c>
    </row>
    <row r="15" spans="1:16">
      <c r="A15" s="52" t="s">
        <v>82</v>
      </c>
      <c r="B15" s="87">
        <f>SUM('Ingresos Reales'!B11)</f>
        <v>0</v>
      </c>
      <c r="C15" s="87">
        <f>SUM('Ingresos Reales'!C11)</f>
        <v>0</v>
      </c>
      <c r="D15" s="87">
        <f>SUM('Ingresos Reales'!D11)</f>
        <v>0</v>
      </c>
      <c r="E15" s="87">
        <f>SUM('Ingresos Reales'!E11)</f>
        <v>0</v>
      </c>
      <c r="F15" s="87">
        <f>SUM('Ingresos Reales'!F11)</f>
        <v>0</v>
      </c>
      <c r="G15" s="87">
        <f>SUM('Ingresos Reales'!G11)</f>
        <v>0</v>
      </c>
      <c r="H15" s="87">
        <f>SUM('Ingresos Reales'!H11)</f>
        <v>0</v>
      </c>
      <c r="I15" s="87">
        <f>SUM('Ingresos Reales'!I11)</f>
        <v>0</v>
      </c>
      <c r="J15" s="87">
        <f>SUM('Ingresos Reales'!J11)</f>
        <v>0</v>
      </c>
      <c r="K15" s="87">
        <f>SUM('Ingresos Reales'!K11)</f>
        <v>0</v>
      </c>
      <c r="L15" s="87">
        <f>SUM('Ingresos Reales'!L11)</f>
        <v>0</v>
      </c>
      <c r="M15" s="87">
        <f>SUM('Ingresos Reales'!M11)</f>
        <v>0</v>
      </c>
      <c r="N15" s="87">
        <f t="shared" si="1"/>
        <v>0</v>
      </c>
    </row>
    <row r="16" spans="1:16">
      <c r="A16" s="52" t="s">
        <v>255</v>
      </c>
      <c r="B16" s="87">
        <f>SUM('Ingresos Reales'!B12)</f>
        <v>0</v>
      </c>
      <c r="C16" s="87">
        <f>SUM('Ingresos Reales'!C12)</f>
        <v>0</v>
      </c>
      <c r="D16" s="87">
        <f>SUM('Ingresos Reales'!D12)</f>
        <v>0</v>
      </c>
      <c r="E16" s="87">
        <f>SUM('Ingresos Reales'!E12)</f>
        <v>0</v>
      </c>
      <c r="F16" s="87">
        <f>SUM('Ingresos Reales'!F12)</f>
        <v>0</v>
      </c>
      <c r="G16" s="87">
        <f>SUM('Ingresos Reales'!G12)</f>
        <v>0</v>
      </c>
      <c r="H16" s="87">
        <f>SUM('Ingresos Reales'!H12)</f>
        <v>0</v>
      </c>
      <c r="I16" s="87">
        <f>SUM('Ingresos Reales'!I12)</f>
        <v>0</v>
      </c>
      <c r="J16" s="87">
        <f>SUM('Ingresos Reales'!J12)</f>
        <v>0</v>
      </c>
      <c r="K16" s="87">
        <f>SUM('Ingresos Reales'!K12)</f>
        <v>0</v>
      </c>
      <c r="L16" s="87">
        <f>SUM('Ingresos Reales'!L12)</f>
        <v>0</v>
      </c>
      <c r="M16" s="87">
        <f>SUM('Ingresos Reales'!M12)</f>
        <v>0</v>
      </c>
      <c r="N16" s="87">
        <f t="shared" si="1"/>
        <v>0</v>
      </c>
    </row>
    <row r="17" spans="1:14">
      <c r="A17" s="53" t="s">
        <v>83</v>
      </c>
      <c r="B17" s="394">
        <f>SUM(B11:B16)</f>
        <v>64285467.350000001</v>
      </c>
      <c r="C17" s="394">
        <f t="shared" ref="C17:N17" si="2">SUM(C11:C16)</f>
        <v>20912122.240000002</v>
      </c>
      <c r="D17" s="394">
        <f t="shared" si="2"/>
        <v>10791089.68</v>
      </c>
      <c r="E17" s="394">
        <f t="shared" si="2"/>
        <v>10577647.510000002</v>
      </c>
      <c r="F17" s="394">
        <f t="shared" si="2"/>
        <v>11203862.74</v>
      </c>
      <c r="G17" s="394">
        <f t="shared" si="2"/>
        <v>10557735.629999999</v>
      </c>
      <c r="H17" s="394">
        <f t="shared" ref="H17" si="3">SUM(H11:H16)</f>
        <v>11327987.92</v>
      </c>
      <c r="I17" s="394">
        <f t="shared" si="2"/>
        <v>12847566.060000001</v>
      </c>
      <c r="J17" s="394">
        <f t="shared" ref="J17" si="4">SUM(J11:J16)</f>
        <v>8248572.7999999998</v>
      </c>
      <c r="K17" s="394">
        <f t="shared" si="2"/>
        <v>8769248.9199999999</v>
      </c>
      <c r="L17" s="394">
        <f t="shared" si="2"/>
        <v>11091838.380000001</v>
      </c>
      <c r="M17" s="394">
        <f t="shared" si="2"/>
        <v>35623347.870000005</v>
      </c>
      <c r="N17" s="394">
        <f t="shared" si="2"/>
        <v>216236487.09999999</v>
      </c>
    </row>
    <row r="18" spans="1:14">
      <c r="A18" s="51" t="s">
        <v>19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</row>
    <row r="19" spans="1:14">
      <c r="A19" s="52" t="s">
        <v>278</v>
      </c>
      <c r="B19" s="87">
        <f>SUM('Ingresos Reales'!B15)</f>
        <v>0</v>
      </c>
      <c r="C19" s="87">
        <f>SUM('Ingresos Reales'!C15)</f>
        <v>0</v>
      </c>
      <c r="D19" s="87">
        <f>SUM('Ingresos Reales'!D15)</f>
        <v>0</v>
      </c>
      <c r="E19" s="87">
        <f>SUM('Ingresos Reales'!E15)</f>
        <v>0</v>
      </c>
      <c r="F19" s="87">
        <f>SUM('Ingresos Reales'!F15)</f>
        <v>0</v>
      </c>
      <c r="G19" s="87">
        <f>SUM('Ingresos Reales'!G15)</f>
        <v>0</v>
      </c>
      <c r="H19" s="87">
        <f>SUM('Ingresos Reales'!H15)</f>
        <v>0</v>
      </c>
      <c r="I19" s="87">
        <f>SUM('Ingresos Reales'!I15)</f>
        <v>0</v>
      </c>
      <c r="J19" s="87">
        <f>SUM('Ingresos Reales'!J15)</f>
        <v>0</v>
      </c>
      <c r="K19" s="87">
        <f>SUM('Ingresos Reales'!K15)</f>
        <v>0</v>
      </c>
      <c r="L19" s="87">
        <f>SUM('Ingresos Reales'!L15)</f>
        <v>0</v>
      </c>
      <c r="M19" s="87">
        <f>SUM('Ingresos Reales'!M15)</f>
        <v>0</v>
      </c>
      <c r="N19" s="87">
        <f>SUM(B19:M19)</f>
        <v>0</v>
      </c>
    </row>
    <row r="20" spans="1:14">
      <c r="A20" s="52" t="s">
        <v>279</v>
      </c>
      <c r="B20" s="87">
        <f>SUM('Ingresos Reales'!B16)</f>
        <v>14158.7</v>
      </c>
      <c r="C20" s="87">
        <f>SUM('Ingresos Reales'!C16)</f>
        <v>3140</v>
      </c>
      <c r="D20" s="87">
        <f>SUM('Ingresos Reales'!D16)</f>
        <v>287880.90000000002</v>
      </c>
      <c r="E20" s="87">
        <f>SUM('Ingresos Reales'!E16)</f>
        <v>264383</v>
      </c>
      <c r="F20" s="87">
        <f>SUM('Ingresos Reales'!F16)</f>
        <v>172674.25</v>
      </c>
      <c r="G20" s="87">
        <f>SUM('Ingresos Reales'!G16)</f>
        <v>168933</v>
      </c>
      <c r="H20" s="87">
        <f>SUM('Ingresos Reales'!H16)</f>
        <v>80016</v>
      </c>
      <c r="I20" s="87">
        <f>SUM('Ingresos Reales'!I16)</f>
        <v>50471.5</v>
      </c>
      <c r="J20" s="87">
        <f>SUM('Ingresos Reales'!J16)</f>
        <v>44053</v>
      </c>
      <c r="K20" s="87">
        <f>SUM('Ingresos Reales'!K16)</f>
        <v>22705</v>
      </c>
      <c r="L20" s="87">
        <f>SUM('Ingresos Reales'!L16)</f>
        <v>26170.5</v>
      </c>
      <c r="M20" s="87">
        <f>SUM('Ingresos Reales'!M16)</f>
        <v>38991</v>
      </c>
      <c r="N20" s="87">
        <f t="shared" ref="N20:N30" si="5">SUM(B20:M20)</f>
        <v>1173576.8500000001</v>
      </c>
    </row>
    <row r="21" spans="1:14">
      <c r="A21" s="52" t="s">
        <v>280</v>
      </c>
      <c r="B21" s="87">
        <f>SUM('Ingresos Reales'!B17)</f>
        <v>1071670.55</v>
      </c>
      <c r="C21" s="87">
        <f>SUM('Ingresos Reales'!C17)</f>
        <v>2446128.1</v>
      </c>
      <c r="D21" s="87">
        <f>SUM('Ingresos Reales'!D17)</f>
        <v>2169709.52</v>
      </c>
      <c r="E21" s="87">
        <f>SUM('Ingresos Reales'!E17)</f>
        <v>1601641.04</v>
      </c>
      <c r="F21" s="87">
        <f>SUM('Ingresos Reales'!F17)</f>
        <v>1742836.04</v>
      </c>
      <c r="G21" s="87">
        <f>SUM('Ingresos Reales'!G17)</f>
        <v>2199939.08</v>
      </c>
      <c r="H21" s="87">
        <f>SUM('Ingresos Reales'!H17)</f>
        <v>5023894.72</v>
      </c>
      <c r="I21" s="87">
        <f>SUM('Ingresos Reales'!I17)</f>
        <v>2920098.58</v>
      </c>
      <c r="J21" s="87">
        <f>SUM('Ingresos Reales'!J17)</f>
        <v>4668816.62</v>
      </c>
      <c r="K21" s="87">
        <f>SUM('Ingresos Reales'!K17)</f>
        <v>4251178.1900000004</v>
      </c>
      <c r="L21" s="87">
        <f>SUM('Ingresos Reales'!L17)</f>
        <v>1510665.78</v>
      </c>
      <c r="M21" s="87">
        <f>SUM('Ingresos Reales'!M17)</f>
        <v>6282081.3300000001</v>
      </c>
      <c r="N21" s="87">
        <f t="shared" si="5"/>
        <v>35888659.550000004</v>
      </c>
    </row>
    <row r="22" spans="1:14">
      <c r="A22" s="52" t="s">
        <v>281</v>
      </c>
      <c r="B22" s="87">
        <f>SUM('Ingresos Reales'!B18)</f>
        <v>44748</v>
      </c>
      <c r="C22" s="87">
        <f>SUM('Ingresos Reales'!C18)</f>
        <v>34754</v>
      </c>
      <c r="D22" s="87">
        <f>SUM('Ingresos Reales'!D18)</f>
        <v>139408</v>
      </c>
      <c r="E22" s="87">
        <f>SUM('Ingresos Reales'!E18)</f>
        <v>75914</v>
      </c>
      <c r="F22" s="87">
        <f>SUM('Ingresos Reales'!F18)</f>
        <v>241962</v>
      </c>
      <c r="G22" s="87">
        <f>SUM('Ingresos Reales'!G18)</f>
        <v>89374</v>
      </c>
      <c r="H22" s="87">
        <f>SUM('Ingresos Reales'!H18)</f>
        <v>89026</v>
      </c>
      <c r="I22" s="87">
        <f>SUM('Ingresos Reales'!I18)</f>
        <v>61690</v>
      </c>
      <c r="J22" s="87">
        <f>SUM('Ingresos Reales'!J18)</f>
        <v>49526</v>
      </c>
      <c r="K22" s="87">
        <f>SUM('Ingresos Reales'!K18)</f>
        <v>31884</v>
      </c>
      <c r="L22" s="87">
        <f>SUM('Ingresos Reales'!L18)</f>
        <v>45482.58</v>
      </c>
      <c r="M22" s="87">
        <f>SUM('Ingresos Reales'!M18)</f>
        <v>38268</v>
      </c>
      <c r="N22" s="87">
        <f t="shared" si="5"/>
        <v>942036.58</v>
      </c>
    </row>
    <row r="23" spans="1:14">
      <c r="A23" s="52" t="s">
        <v>282</v>
      </c>
      <c r="B23" s="87">
        <f>SUM('Ingresos Reales'!B19)</f>
        <v>25664.75</v>
      </c>
      <c r="C23" s="87">
        <f>SUM('Ingresos Reales'!C19)</f>
        <v>7948</v>
      </c>
      <c r="D23" s="87">
        <f>SUM('Ingresos Reales'!D19)</f>
        <v>1417816.2</v>
      </c>
      <c r="E23" s="87">
        <f>SUM('Ingresos Reales'!E19)</f>
        <v>648549.4</v>
      </c>
      <c r="F23" s="87">
        <f>SUM('Ingresos Reales'!F19)</f>
        <v>294322.40000000002</v>
      </c>
      <c r="G23" s="87">
        <f>SUM('Ingresos Reales'!G19)</f>
        <v>450297.59999999998</v>
      </c>
      <c r="H23" s="87">
        <f>SUM('Ingresos Reales'!H19)</f>
        <v>169077.6</v>
      </c>
      <c r="I23" s="87">
        <f>SUM('Ingresos Reales'!I19)</f>
        <v>147886.54999999999</v>
      </c>
      <c r="J23" s="87">
        <f>SUM('Ingresos Reales'!J19)</f>
        <v>113786.4</v>
      </c>
      <c r="K23" s="87">
        <f>SUM('Ingresos Reales'!K19)</f>
        <v>57003.3</v>
      </c>
      <c r="L23" s="87">
        <f>SUM('Ingresos Reales'!L19)</f>
        <v>78659</v>
      </c>
      <c r="M23" s="87">
        <f>SUM('Ingresos Reales'!M19)</f>
        <v>122986.1</v>
      </c>
      <c r="N23" s="87">
        <f t="shared" si="5"/>
        <v>3533997.3</v>
      </c>
    </row>
    <row r="24" spans="1:14">
      <c r="A24" s="52" t="s">
        <v>283</v>
      </c>
      <c r="B24" s="87">
        <f>SUM('Ingresos Reales'!B20)</f>
        <v>0</v>
      </c>
      <c r="C24" s="87">
        <f>SUM('Ingresos Reales'!C20)</f>
        <v>0</v>
      </c>
      <c r="D24" s="87">
        <f>SUM('Ingresos Reales'!D20)</f>
        <v>0</v>
      </c>
      <c r="E24" s="87">
        <f>SUM('Ingresos Reales'!E20)</f>
        <v>0</v>
      </c>
      <c r="F24" s="87">
        <f>SUM('Ingresos Reales'!F20)</f>
        <v>0</v>
      </c>
      <c r="G24" s="87">
        <f>SUM('Ingresos Reales'!G20)</f>
        <v>0</v>
      </c>
      <c r="H24" s="87">
        <f>SUM('Ingresos Reales'!H20)</f>
        <v>0</v>
      </c>
      <c r="I24" s="87">
        <f>SUM('Ingresos Reales'!I20)</f>
        <v>0</v>
      </c>
      <c r="J24" s="87">
        <f>SUM('Ingresos Reales'!J20)</f>
        <v>0</v>
      </c>
      <c r="K24" s="87">
        <f>SUM('Ingresos Reales'!K20)</f>
        <v>0</v>
      </c>
      <c r="L24" s="87">
        <f>SUM('Ingresos Reales'!L20)</f>
        <v>0</v>
      </c>
      <c r="M24" s="87">
        <f>SUM('Ingresos Reales'!M20)</f>
        <v>0</v>
      </c>
      <c r="N24" s="87">
        <f t="shared" si="5"/>
        <v>0</v>
      </c>
    </row>
    <row r="25" spans="1:14">
      <c r="A25" s="52" t="s">
        <v>284</v>
      </c>
      <c r="B25" s="87">
        <f>SUM('Ingresos Reales'!B21)</f>
        <v>261017.52</v>
      </c>
      <c r="C25" s="87">
        <f>SUM('Ingresos Reales'!C21)</f>
        <v>244095.63</v>
      </c>
      <c r="D25" s="87">
        <f>SUM('Ingresos Reales'!D21)</f>
        <v>327149.95</v>
      </c>
      <c r="E25" s="87">
        <f>SUM('Ingresos Reales'!E21)</f>
        <v>258555.78</v>
      </c>
      <c r="F25" s="87">
        <f>SUM('Ingresos Reales'!F21)</f>
        <v>242043.51</v>
      </c>
      <c r="G25" s="87">
        <f>SUM('Ingresos Reales'!G21)</f>
        <v>235688.72</v>
      </c>
      <c r="H25" s="87">
        <f>SUM('Ingresos Reales'!H21)</f>
        <v>326346.90000000002</v>
      </c>
      <c r="I25" s="87">
        <f>SUM('Ingresos Reales'!I21)</f>
        <v>331206.48</v>
      </c>
      <c r="J25" s="87">
        <f>SUM('Ingresos Reales'!J21)</f>
        <v>220406.03</v>
      </c>
      <c r="K25" s="87">
        <f>SUM('Ingresos Reales'!K21)</f>
        <v>315963.74</v>
      </c>
      <c r="L25" s="87">
        <f>SUM('Ingresos Reales'!L21)</f>
        <v>213113.83</v>
      </c>
      <c r="M25" s="87">
        <f>SUM('Ingresos Reales'!M21)</f>
        <v>189698.66</v>
      </c>
      <c r="N25" s="87">
        <f t="shared" si="5"/>
        <v>3165286.75</v>
      </c>
    </row>
    <row r="26" spans="1:14">
      <c r="A26" s="52" t="s">
        <v>285</v>
      </c>
      <c r="B26" s="87">
        <f>SUM('Ingresos Reales'!B22)</f>
        <v>0</v>
      </c>
      <c r="C26" s="87">
        <f>SUM('Ingresos Reales'!C22)</f>
        <v>0</v>
      </c>
      <c r="D26" s="87">
        <f>SUM('Ingresos Reales'!D22)</f>
        <v>0</v>
      </c>
      <c r="E26" s="87">
        <f>SUM('Ingresos Reales'!E22)</f>
        <v>0</v>
      </c>
      <c r="F26" s="87">
        <f>SUM('Ingresos Reales'!F22)</f>
        <v>0</v>
      </c>
      <c r="G26" s="87">
        <f>SUM('Ingresos Reales'!G22)</f>
        <v>0</v>
      </c>
      <c r="H26" s="87">
        <f>SUM('Ingresos Reales'!H22)</f>
        <v>0</v>
      </c>
      <c r="I26" s="87">
        <f>SUM('Ingresos Reales'!I22)</f>
        <v>0</v>
      </c>
      <c r="J26" s="87">
        <f>SUM('Ingresos Reales'!J22)</f>
        <v>0</v>
      </c>
      <c r="K26" s="87">
        <f>SUM('Ingresos Reales'!K22)</f>
        <v>0</v>
      </c>
      <c r="L26" s="87">
        <f>SUM('Ingresos Reales'!L22)</f>
        <v>0</v>
      </c>
      <c r="M26" s="87">
        <f>SUM('Ingresos Reales'!M22)</f>
        <v>0</v>
      </c>
      <c r="N26" s="87">
        <f t="shared" si="5"/>
        <v>0</v>
      </c>
    </row>
    <row r="27" spans="1:14">
      <c r="A27" s="52" t="s">
        <v>286</v>
      </c>
      <c r="B27" s="87">
        <f>SUM('Ingresos Reales'!B23)</f>
        <v>0</v>
      </c>
      <c r="C27" s="87">
        <f>SUM('Ingresos Reales'!C23)</f>
        <v>0</v>
      </c>
      <c r="D27" s="87">
        <f>SUM('Ingresos Reales'!D23)</f>
        <v>0</v>
      </c>
      <c r="E27" s="87">
        <f>SUM('Ingresos Reales'!E23)</f>
        <v>0</v>
      </c>
      <c r="F27" s="87">
        <f>SUM('Ingresos Reales'!F23)</f>
        <v>0</v>
      </c>
      <c r="G27" s="87">
        <f>SUM('Ingresos Reales'!G23)</f>
        <v>0</v>
      </c>
      <c r="H27" s="87">
        <f>SUM('Ingresos Reales'!H23)</f>
        <v>0</v>
      </c>
      <c r="I27" s="87">
        <f>SUM('Ingresos Reales'!I23)</f>
        <v>0</v>
      </c>
      <c r="J27" s="87">
        <f>SUM('Ingresos Reales'!J23)</f>
        <v>0</v>
      </c>
      <c r="K27" s="87">
        <f>SUM('Ingresos Reales'!K23)</f>
        <v>0</v>
      </c>
      <c r="L27" s="87">
        <f>SUM('Ingresos Reales'!L23)</f>
        <v>0</v>
      </c>
      <c r="M27" s="87">
        <f>SUM('Ingresos Reales'!M23)</f>
        <v>0</v>
      </c>
      <c r="N27" s="87">
        <f t="shared" si="5"/>
        <v>0</v>
      </c>
    </row>
    <row r="28" spans="1:14">
      <c r="A28" s="52" t="s">
        <v>287</v>
      </c>
      <c r="B28" s="87">
        <f>SUM('Ingresos Reales'!B24)</f>
        <v>128422.19</v>
      </c>
      <c r="C28" s="87">
        <f>SUM('Ingresos Reales'!C24)</f>
        <v>36297.769999999997</v>
      </c>
      <c r="D28" s="87">
        <f>SUM('Ingresos Reales'!D24)</f>
        <v>502993.96</v>
      </c>
      <c r="E28" s="87">
        <f>SUM('Ingresos Reales'!E24)</f>
        <v>5086</v>
      </c>
      <c r="F28" s="87">
        <f>SUM('Ingresos Reales'!F24)</f>
        <v>24933.599999999999</v>
      </c>
      <c r="G28" s="87">
        <f>SUM('Ingresos Reales'!G24)</f>
        <v>59555.05</v>
      </c>
      <c r="H28" s="87">
        <f>SUM('Ingresos Reales'!H24)</f>
        <v>223799.62</v>
      </c>
      <c r="I28" s="87">
        <f>SUM('Ingresos Reales'!I24)</f>
        <v>26424.2</v>
      </c>
      <c r="J28" s="87">
        <f>SUM('Ingresos Reales'!J24)</f>
        <v>165547.23000000001</v>
      </c>
      <c r="K28" s="87">
        <f>SUM('Ingresos Reales'!K24)</f>
        <v>1496</v>
      </c>
      <c r="L28" s="87">
        <f>SUM('Ingresos Reales'!L24)</f>
        <v>30688.3</v>
      </c>
      <c r="M28" s="87">
        <f>SUM('Ingresos Reales'!M24)</f>
        <v>31042.39</v>
      </c>
      <c r="N28" s="87">
        <f t="shared" si="5"/>
        <v>1236286.31</v>
      </c>
    </row>
    <row r="29" spans="1:14">
      <c r="A29" s="52" t="s">
        <v>84</v>
      </c>
      <c r="B29" s="87">
        <f>SUM('Ingresos Reales'!B25)</f>
        <v>773552.52</v>
      </c>
      <c r="C29" s="87">
        <f>SUM('Ingresos Reales'!C25)</f>
        <v>472416.86</v>
      </c>
      <c r="D29" s="87">
        <f>SUM('Ingresos Reales'!D25)</f>
        <v>1005200.71</v>
      </c>
      <c r="E29" s="87">
        <f>SUM('Ingresos Reales'!E25)</f>
        <v>151019.42000000001</v>
      </c>
      <c r="F29" s="87">
        <f>SUM('Ingresos Reales'!F25)</f>
        <v>616237.59</v>
      </c>
      <c r="G29" s="87">
        <f>SUM('Ingresos Reales'!G25)</f>
        <v>361223.19</v>
      </c>
      <c r="H29" s="87">
        <f>SUM('Ingresos Reales'!H25)</f>
        <v>436350.23</v>
      </c>
      <c r="I29" s="87">
        <f>SUM('Ingresos Reales'!I25)</f>
        <v>635180.80000000005</v>
      </c>
      <c r="J29" s="87">
        <f>SUM('Ingresos Reales'!J25)</f>
        <v>373842.26</v>
      </c>
      <c r="K29" s="87">
        <f>SUM('Ingresos Reales'!K25)</f>
        <v>429155.24</v>
      </c>
      <c r="L29" s="87">
        <f>SUM('Ingresos Reales'!L25)</f>
        <v>285636.07</v>
      </c>
      <c r="M29" s="87">
        <f>SUM('Ingresos Reales'!M25)</f>
        <v>280627.27</v>
      </c>
      <c r="N29" s="87">
        <f t="shared" si="5"/>
        <v>5820442.1600000001</v>
      </c>
    </row>
    <row r="30" spans="1:14">
      <c r="A30" s="52" t="s">
        <v>255</v>
      </c>
      <c r="B30" s="87">
        <f>SUM('Ingresos Reales'!B26)</f>
        <v>0</v>
      </c>
      <c r="C30" s="87">
        <f>SUM('Ingresos Reales'!C26)</f>
        <v>0</v>
      </c>
      <c r="D30" s="87">
        <f>SUM('Ingresos Reales'!D26)</f>
        <v>0</v>
      </c>
      <c r="E30" s="87">
        <f>SUM('Ingresos Reales'!E26)</f>
        <v>0</v>
      </c>
      <c r="F30" s="87">
        <f>SUM('Ingresos Reales'!F26)</f>
        <v>0</v>
      </c>
      <c r="G30" s="87">
        <f>SUM('Ingresos Reales'!G26)</f>
        <v>0</v>
      </c>
      <c r="H30" s="87">
        <f>SUM('Ingresos Reales'!H26)</f>
        <v>0</v>
      </c>
      <c r="I30" s="87">
        <f>SUM('Ingresos Reales'!I26)</f>
        <v>0</v>
      </c>
      <c r="J30" s="87">
        <f>SUM('Ingresos Reales'!J26)</f>
        <v>0</v>
      </c>
      <c r="K30" s="87">
        <f>SUM('Ingresos Reales'!K26)</f>
        <v>0</v>
      </c>
      <c r="L30" s="87">
        <f>SUM('Ingresos Reales'!L26)</f>
        <v>0</v>
      </c>
      <c r="M30" s="87">
        <f>SUM('Ingresos Reales'!M26)</f>
        <v>0</v>
      </c>
      <c r="N30" s="87">
        <f t="shared" si="5"/>
        <v>0</v>
      </c>
    </row>
    <row r="31" spans="1:14">
      <c r="A31" s="53" t="s">
        <v>85</v>
      </c>
      <c r="B31" s="394">
        <f>SUM(B19:B30)</f>
        <v>2319234.23</v>
      </c>
      <c r="C31" s="394">
        <f t="shared" ref="C31:N31" si="6">SUM(C19:C30)</f>
        <v>3244780.36</v>
      </c>
      <c r="D31" s="394">
        <f t="shared" si="6"/>
        <v>5850159.2400000002</v>
      </c>
      <c r="E31" s="394">
        <f t="shared" si="6"/>
        <v>3005148.6399999997</v>
      </c>
      <c r="F31" s="394">
        <f t="shared" si="6"/>
        <v>3335009.39</v>
      </c>
      <c r="G31" s="394">
        <f t="shared" si="6"/>
        <v>3565010.64</v>
      </c>
      <c r="H31" s="394">
        <f t="shared" ref="H31" si="7">SUM(H19:H30)</f>
        <v>6348511.0700000003</v>
      </c>
      <c r="I31" s="394">
        <f t="shared" si="6"/>
        <v>4172958.1100000003</v>
      </c>
      <c r="J31" s="394">
        <f t="shared" ref="J31" si="8">SUM(J19:J30)</f>
        <v>5635977.540000001</v>
      </c>
      <c r="K31" s="394">
        <f t="shared" si="6"/>
        <v>5109385.4700000007</v>
      </c>
      <c r="L31" s="394">
        <f t="shared" si="6"/>
        <v>2190416.06</v>
      </c>
      <c r="M31" s="394">
        <f t="shared" si="6"/>
        <v>6983694.75</v>
      </c>
      <c r="N31" s="394">
        <f t="shared" si="6"/>
        <v>51760285.5</v>
      </c>
    </row>
    <row r="32" spans="1:14" ht="38.25">
      <c r="A32" s="79" t="s">
        <v>308</v>
      </c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</row>
    <row r="33" spans="1:14">
      <c r="A33" s="78" t="s">
        <v>309</v>
      </c>
      <c r="B33" s="87">
        <f>SUM('Ingresos Reales'!B29)</f>
        <v>0</v>
      </c>
      <c r="C33" s="87">
        <f>SUM('Ingresos Reales'!C29)</f>
        <v>0</v>
      </c>
      <c r="D33" s="87">
        <f>SUM('Ingresos Reales'!D29)</f>
        <v>0</v>
      </c>
      <c r="E33" s="87">
        <f>SUM('Ingresos Reales'!E29)</f>
        <v>0</v>
      </c>
      <c r="F33" s="87">
        <f>SUM('Ingresos Reales'!F29)</f>
        <v>0</v>
      </c>
      <c r="G33" s="87">
        <f>SUM('Ingresos Reales'!G29)</f>
        <v>0</v>
      </c>
      <c r="H33" s="87">
        <f>SUM('Ingresos Reales'!H29)</f>
        <v>0</v>
      </c>
      <c r="I33" s="87">
        <f>SUM('Ingresos Reales'!I29)</f>
        <v>0</v>
      </c>
      <c r="J33" s="87">
        <f>SUM('Ingresos Reales'!J29)</f>
        <v>0</v>
      </c>
      <c r="K33" s="87">
        <f>SUM('Ingresos Reales'!K29)</f>
        <v>0</v>
      </c>
      <c r="L33" s="87">
        <f>SUM('Ingresos Reales'!L29)</f>
        <v>0</v>
      </c>
      <c r="M33" s="87">
        <f>SUM('Ingresos Reales'!M29)</f>
        <v>0</v>
      </c>
      <c r="N33" s="87">
        <f>SUM(B33:M33)</f>
        <v>0</v>
      </c>
    </row>
    <row r="34" spans="1:14">
      <c r="A34" s="78" t="s">
        <v>298</v>
      </c>
      <c r="B34" s="87">
        <f>SUM('Ingresos Reales'!B30)</f>
        <v>0</v>
      </c>
      <c r="C34" s="87">
        <f>SUM('Ingresos Reales'!C30)</f>
        <v>0</v>
      </c>
      <c r="D34" s="87">
        <f>SUM('Ingresos Reales'!D30)</f>
        <v>0</v>
      </c>
      <c r="E34" s="87">
        <f>SUM('Ingresos Reales'!E30)</f>
        <v>0</v>
      </c>
      <c r="F34" s="87">
        <f>SUM('Ingresos Reales'!F30)</f>
        <v>0</v>
      </c>
      <c r="G34" s="87">
        <f>SUM('Ingresos Reales'!G30)</f>
        <v>0</v>
      </c>
      <c r="H34" s="87">
        <f>SUM('Ingresos Reales'!H30)</f>
        <v>0</v>
      </c>
      <c r="I34" s="87">
        <f>SUM('Ingresos Reales'!I30)</f>
        <v>0</v>
      </c>
      <c r="J34" s="87">
        <f>SUM('Ingresos Reales'!J30)</f>
        <v>0</v>
      </c>
      <c r="K34" s="87">
        <f>SUM('Ingresos Reales'!K30)</f>
        <v>0</v>
      </c>
      <c r="L34" s="87">
        <f>SUM('Ingresos Reales'!L30)</f>
        <v>0</v>
      </c>
      <c r="M34" s="87">
        <f>SUM('Ingresos Reales'!M30)</f>
        <v>0</v>
      </c>
      <c r="N34" s="87">
        <f>SUM(B34:M34)</f>
        <v>0</v>
      </c>
    </row>
    <row r="35" spans="1:14">
      <c r="A35" s="78" t="s">
        <v>299</v>
      </c>
      <c r="B35" s="87">
        <f>SUM('Ingresos Reales'!B31)</f>
        <v>0</v>
      </c>
      <c r="C35" s="87">
        <f>SUM('Ingresos Reales'!C31)</f>
        <v>0</v>
      </c>
      <c r="D35" s="87">
        <f>SUM('Ingresos Reales'!D31)</f>
        <v>0</v>
      </c>
      <c r="E35" s="87">
        <f>SUM('Ingresos Reales'!E31)</f>
        <v>0</v>
      </c>
      <c r="F35" s="87">
        <f>SUM('Ingresos Reales'!F31)</f>
        <v>0</v>
      </c>
      <c r="G35" s="87">
        <f>SUM('Ingresos Reales'!G31)</f>
        <v>0</v>
      </c>
      <c r="H35" s="87">
        <f>SUM('Ingresos Reales'!H31)</f>
        <v>0</v>
      </c>
      <c r="I35" s="87">
        <f>SUM('Ingresos Reales'!I31)</f>
        <v>0</v>
      </c>
      <c r="J35" s="87">
        <f>SUM('Ingresos Reales'!J31)</f>
        <v>0</v>
      </c>
      <c r="K35" s="87">
        <f>SUM('Ingresos Reales'!K31)</f>
        <v>0</v>
      </c>
      <c r="L35" s="87">
        <f>SUM('Ingresos Reales'!L31)</f>
        <v>0</v>
      </c>
      <c r="M35" s="87">
        <f>SUM('Ingresos Reales'!M31)</f>
        <v>0</v>
      </c>
      <c r="N35" s="87">
        <f>SUM(B35:M35)</f>
        <v>0</v>
      </c>
    </row>
    <row r="36" spans="1:14">
      <c r="A36" s="53" t="s">
        <v>239</v>
      </c>
      <c r="B36" s="394">
        <f>SUM(B33:B35)</f>
        <v>0</v>
      </c>
      <c r="C36" s="394">
        <f t="shared" ref="C36:N36" si="9">SUM(C33:C35)</f>
        <v>0</v>
      </c>
      <c r="D36" s="394">
        <f t="shared" si="9"/>
        <v>0</v>
      </c>
      <c r="E36" s="394">
        <f t="shared" si="9"/>
        <v>0</v>
      </c>
      <c r="F36" s="394">
        <f t="shared" si="9"/>
        <v>0</v>
      </c>
      <c r="G36" s="394">
        <f t="shared" si="9"/>
        <v>0</v>
      </c>
      <c r="H36" s="394">
        <f t="shared" ref="H36" si="10">SUM(H33:H35)</f>
        <v>0</v>
      </c>
      <c r="I36" s="394">
        <f t="shared" si="9"/>
        <v>0</v>
      </c>
      <c r="J36" s="394">
        <f t="shared" ref="J36" si="11">SUM(J33:J35)</f>
        <v>0</v>
      </c>
      <c r="K36" s="394">
        <f t="shared" si="9"/>
        <v>0</v>
      </c>
      <c r="L36" s="394">
        <f t="shared" si="9"/>
        <v>0</v>
      </c>
      <c r="M36" s="394">
        <f t="shared" si="9"/>
        <v>0</v>
      </c>
      <c r="N36" s="394">
        <f t="shared" si="9"/>
        <v>0</v>
      </c>
    </row>
    <row r="37" spans="1:14">
      <c r="A37" s="51" t="s">
        <v>20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>
      <c r="A38" s="52" t="s">
        <v>311</v>
      </c>
      <c r="B38" s="87">
        <f>SUM('Ingresos Reales'!B34)</f>
        <v>11135</v>
      </c>
      <c r="C38" s="87">
        <f>SUM('Ingresos Reales'!C34)</f>
        <v>10193</v>
      </c>
      <c r="D38" s="87">
        <f>SUM('Ingresos Reales'!D34)</f>
        <v>11030</v>
      </c>
      <c r="E38" s="87">
        <f>SUM('Ingresos Reales'!E34)</f>
        <v>4907</v>
      </c>
      <c r="F38" s="87">
        <f>SUM('Ingresos Reales'!F34)</f>
        <v>12552</v>
      </c>
      <c r="G38" s="87">
        <f>SUM('Ingresos Reales'!G34)</f>
        <v>18647</v>
      </c>
      <c r="H38" s="87">
        <f>SUM('Ingresos Reales'!H34)</f>
        <v>8602</v>
      </c>
      <c r="I38" s="87">
        <f>SUM('Ingresos Reales'!I34)</f>
        <v>4928</v>
      </c>
      <c r="J38" s="87">
        <f>SUM('Ingresos Reales'!J34)</f>
        <v>506986</v>
      </c>
      <c r="K38" s="87">
        <f>SUM('Ingresos Reales'!K34)</f>
        <v>18284</v>
      </c>
      <c r="L38" s="87">
        <f>SUM('Ingresos Reales'!L34)</f>
        <v>9764</v>
      </c>
      <c r="M38" s="87">
        <f>SUM('Ingresos Reales'!M34)</f>
        <v>12848</v>
      </c>
      <c r="N38" s="87">
        <f t="shared" ref="N38:N48" si="12">SUM(B38:M38)</f>
        <v>629876</v>
      </c>
    </row>
    <row r="39" spans="1:14">
      <c r="A39" s="52" t="s">
        <v>310</v>
      </c>
      <c r="B39" s="87">
        <f>SUM('Ingresos Reales'!B35)</f>
        <v>47927</v>
      </c>
      <c r="C39" s="87">
        <f>SUM('Ingresos Reales'!C35)</f>
        <v>59792</v>
      </c>
      <c r="D39" s="87">
        <f>SUM('Ingresos Reales'!D35)</f>
        <v>397633.51</v>
      </c>
      <c r="E39" s="87">
        <f>SUM('Ingresos Reales'!E35)</f>
        <v>419295</v>
      </c>
      <c r="F39" s="87">
        <f>SUM('Ingresos Reales'!F35)</f>
        <v>1119498</v>
      </c>
      <c r="G39" s="87">
        <f>SUM('Ingresos Reales'!G35)</f>
        <v>466218.62</v>
      </c>
      <c r="H39" s="87">
        <f>SUM('Ingresos Reales'!H35)</f>
        <v>492453.46</v>
      </c>
      <c r="I39" s="87">
        <f>SUM('Ingresos Reales'!I35)</f>
        <v>874183.64</v>
      </c>
      <c r="J39" s="87">
        <f>SUM('Ingresos Reales'!J35)</f>
        <v>333102.57</v>
      </c>
      <c r="K39" s="87">
        <f>SUM('Ingresos Reales'!K35)</f>
        <v>386254.62</v>
      </c>
      <c r="L39" s="87">
        <f>SUM('Ingresos Reales'!L35)</f>
        <v>210726.6</v>
      </c>
      <c r="M39" s="87">
        <f>SUM('Ingresos Reales'!M35)</f>
        <v>137251.92000000001</v>
      </c>
      <c r="N39" s="87">
        <f t="shared" si="12"/>
        <v>4944336.9399999995</v>
      </c>
    </row>
    <row r="40" spans="1:14">
      <c r="A40" s="52" t="s">
        <v>256</v>
      </c>
      <c r="B40" s="87">
        <f>SUM('Ingresos Reales'!B36)</f>
        <v>0</v>
      </c>
      <c r="C40" s="87">
        <f>SUM('Ingresos Reales'!C36)</f>
        <v>0</v>
      </c>
      <c r="D40" s="87">
        <f>SUM('Ingresos Reales'!D36)</f>
        <v>0</v>
      </c>
      <c r="E40" s="87">
        <f>SUM('Ingresos Reales'!E36)</f>
        <v>0</v>
      </c>
      <c r="F40" s="87">
        <f>SUM('Ingresos Reales'!F36)</f>
        <v>0</v>
      </c>
      <c r="G40" s="87">
        <f>SUM('Ingresos Reales'!G36)</f>
        <v>0</v>
      </c>
      <c r="H40" s="87">
        <f>SUM('Ingresos Reales'!H36)</f>
        <v>0</v>
      </c>
      <c r="I40" s="87">
        <f>SUM('Ingresos Reales'!I36)</f>
        <v>0</v>
      </c>
      <c r="J40" s="87">
        <f>SUM('Ingresos Reales'!J36)</f>
        <v>0</v>
      </c>
      <c r="K40" s="87">
        <f>SUM('Ingresos Reales'!K36)</f>
        <v>0</v>
      </c>
      <c r="L40" s="87">
        <f>SUM('Ingresos Reales'!L36)</f>
        <v>0</v>
      </c>
      <c r="M40" s="87">
        <f>SUM('Ingresos Reales'!M36)</f>
        <v>0</v>
      </c>
      <c r="N40" s="87">
        <f t="shared" si="12"/>
        <v>0</v>
      </c>
    </row>
    <row r="41" spans="1:14">
      <c r="A41" s="52" t="s">
        <v>312</v>
      </c>
      <c r="B41" s="87">
        <f>SUM('Ingresos Reales'!B37)</f>
        <v>0</v>
      </c>
      <c r="C41" s="87">
        <f>SUM('Ingresos Reales'!C37)</f>
        <v>0</v>
      </c>
      <c r="D41" s="87">
        <f>SUM('Ingresos Reales'!D37)</f>
        <v>0</v>
      </c>
      <c r="E41" s="87">
        <f>SUM('Ingresos Reales'!E37)</f>
        <v>0</v>
      </c>
      <c r="F41" s="87">
        <f>SUM('Ingresos Reales'!F37)</f>
        <v>0</v>
      </c>
      <c r="G41" s="87">
        <f>SUM('Ingresos Reales'!G37)</f>
        <v>0</v>
      </c>
      <c r="H41" s="87">
        <f>SUM('Ingresos Reales'!H37)</f>
        <v>0</v>
      </c>
      <c r="I41" s="87">
        <f>SUM('Ingresos Reales'!I37)</f>
        <v>0</v>
      </c>
      <c r="J41" s="87">
        <f>SUM('Ingresos Reales'!J37)</f>
        <v>0</v>
      </c>
      <c r="K41" s="87">
        <f>SUM('Ingresos Reales'!K37)</f>
        <v>0</v>
      </c>
      <c r="L41" s="87">
        <f>SUM('Ingresos Reales'!L37)</f>
        <v>0</v>
      </c>
      <c r="M41" s="87">
        <f>SUM('Ingresos Reales'!M37)</f>
        <v>0</v>
      </c>
      <c r="N41" s="87">
        <f t="shared" si="12"/>
        <v>0</v>
      </c>
    </row>
    <row r="42" spans="1:14">
      <c r="A42" s="52" t="s">
        <v>257</v>
      </c>
      <c r="B42" s="87">
        <f>SUM('Ingresos Reales'!B38)</f>
        <v>0</v>
      </c>
      <c r="C42" s="87">
        <f>SUM('Ingresos Reales'!C38)</f>
        <v>0</v>
      </c>
      <c r="D42" s="87">
        <f>SUM('Ingresos Reales'!D38)</f>
        <v>0</v>
      </c>
      <c r="E42" s="87">
        <f>SUM('Ingresos Reales'!E38)</f>
        <v>0</v>
      </c>
      <c r="F42" s="87">
        <f>SUM('Ingresos Reales'!F38)</f>
        <v>0</v>
      </c>
      <c r="G42" s="87">
        <f>SUM('Ingresos Reales'!G38)</f>
        <v>0</v>
      </c>
      <c r="H42" s="87">
        <f>SUM('Ingresos Reales'!H38)</f>
        <v>0</v>
      </c>
      <c r="I42" s="87">
        <f>SUM('Ingresos Reales'!I38)</f>
        <v>0</v>
      </c>
      <c r="J42" s="87">
        <f>SUM('Ingresos Reales'!J38)</f>
        <v>0</v>
      </c>
      <c r="K42" s="87">
        <f>SUM('Ingresos Reales'!K38)</f>
        <v>0</v>
      </c>
      <c r="L42" s="87">
        <f>SUM('Ingresos Reales'!L38)</f>
        <v>0</v>
      </c>
      <c r="M42" s="87">
        <f>SUM('Ingresos Reales'!M38)</f>
        <v>0</v>
      </c>
      <c r="N42" s="87">
        <f t="shared" si="12"/>
        <v>0</v>
      </c>
    </row>
    <row r="43" spans="1:14">
      <c r="A43" s="52" t="s">
        <v>258</v>
      </c>
      <c r="B43" s="87">
        <f>SUM('Ingresos Reales'!B39)</f>
        <v>0</v>
      </c>
      <c r="C43" s="87">
        <f>SUM('Ingresos Reales'!C39)</f>
        <v>0</v>
      </c>
      <c r="D43" s="87">
        <f>SUM('Ingresos Reales'!D39)</f>
        <v>0</v>
      </c>
      <c r="E43" s="87">
        <f>SUM('Ingresos Reales'!E39)</f>
        <v>0</v>
      </c>
      <c r="F43" s="87">
        <f>SUM('Ingresos Reales'!F39)</f>
        <v>0</v>
      </c>
      <c r="G43" s="87">
        <f>SUM('Ingresos Reales'!G39)</f>
        <v>0</v>
      </c>
      <c r="H43" s="87">
        <f>SUM('Ingresos Reales'!H39)</f>
        <v>0</v>
      </c>
      <c r="I43" s="87">
        <f>SUM('Ingresos Reales'!I39)</f>
        <v>0</v>
      </c>
      <c r="J43" s="87">
        <f>SUM('Ingresos Reales'!J39)</f>
        <v>0</v>
      </c>
      <c r="K43" s="87">
        <f>SUM('Ingresos Reales'!K39)</f>
        <v>0</v>
      </c>
      <c r="L43" s="87">
        <f>SUM('Ingresos Reales'!L39)</f>
        <v>0</v>
      </c>
      <c r="M43" s="87">
        <f>SUM('Ingresos Reales'!M39)</f>
        <v>0</v>
      </c>
      <c r="N43" s="87">
        <f t="shared" si="12"/>
        <v>0</v>
      </c>
    </row>
    <row r="44" spans="1:14">
      <c r="A44" s="52" t="s">
        <v>259</v>
      </c>
      <c r="B44" s="87">
        <f>SUM('Ingresos Reales'!B40)</f>
        <v>0</v>
      </c>
      <c r="C44" s="87">
        <f>SUM('Ingresos Reales'!C40)</f>
        <v>0</v>
      </c>
      <c r="D44" s="87">
        <f>SUM('Ingresos Reales'!D40)</f>
        <v>0</v>
      </c>
      <c r="E44" s="87">
        <f>SUM('Ingresos Reales'!E40)</f>
        <v>0</v>
      </c>
      <c r="F44" s="87">
        <f>SUM('Ingresos Reales'!F40)</f>
        <v>0</v>
      </c>
      <c r="G44" s="87">
        <f>SUM('Ingresos Reales'!G40)</f>
        <v>0</v>
      </c>
      <c r="H44" s="87">
        <f>SUM('Ingresos Reales'!H40)</f>
        <v>0</v>
      </c>
      <c r="I44" s="87">
        <f>SUM('Ingresos Reales'!I40)</f>
        <v>0</v>
      </c>
      <c r="J44" s="87">
        <f>SUM('Ingresos Reales'!J40)</f>
        <v>0</v>
      </c>
      <c r="K44" s="87">
        <f>SUM('Ingresos Reales'!K40)</f>
        <v>0</v>
      </c>
      <c r="L44" s="87">
        <f>SUM('Ingresos Reales'!L40)</f>
        <v>0</v>
      </c>
      <c r="M44" s="87">
        <f>SUM('Ingresos Reales'!M40)</f>
        <v>0</v>
      </c>
      <c r="N44" s="87">
        <f t="shared" si="12"/>
        <v>0</v>
      </c>
    </row>
    <row r="45" spans="1:14">
      <c r="A45" s="52" t="s">
        <v>260</v>
      </c>
      <c r="B45" s="87">
        <f>SUM('Ingresos Reales'!B41)</f>
        <v>0</v>
      </c>
      <c r="C45" s="87">
        <f>SUM('Ingresos Reales'!C41)</f>
        <v>0</v>
      </c>
      <c r="D45" s="87">
        <f>SUM('Ingresos Reales'!D41)</f>
        <v>0</v>
      </c>
      <c r="E45" s="87">
        <f>SUM('Ingresos Reales'!E41)</f>
        <v>0</v>
      </c>
      <c r="F45" s="87">
        <f>SUM('Ingresos Reales'!F41)</f>
        <v>0</v>
      </c>
      <c r="G45" s="87">
        <f>SUM('Ingresos Reales'!G41)</f>
        <v>0</v>
      </c>
      <c r="H45" s="87">
        <f>SUM('Ingresos Reales'!H41)</f>
        <v>0</v>
      </c>
      <c r="I45" s="87">
        <f>SUM('Ingresos Reales'!I41)</f>
        <v>0</v>
      </c>
      <c r="J45" s="87">
        <f>SUM('Ingresos Reales'!J41)</f>
        <v>0</v>
      </c>
      <c r="K45" s="87">
        <f>SUM('Ingresos Reales'!K41)</f>
        <v>0</v>
      </c>
      <c r="L45" s="87">
        <f>SUM('Ingresos Reales'!L41)</f>
        <v>0</v>
      </c>
      <c r="M45" s="87">
        <f>SUM('Ingresos Reales'!M41)</f>
        <v>0</v>
      </c>
      <c r="N45" s="87">
        <f t="shared" si="12"/>
        <v>0</v>
      </c>
    </row>
    <row r="46" spans="1:14">
      <c r="A46" s="52" t="s">
        <v>86</v>
      </c>
      <c r="B46" s="87">
        <f>SUM('Ingresos Reales'!B42)</f>
        <v>82069.740000000005</v>
      </c>
      <c r="C46" s="87">
        <f>SUM('Ingresos Reales'!C42)</f>
        <v>145443.73000000001</v>
      </c>
      <c r="D46" s="87">
        <f>SUM('Ingresos Reales'!D42)</f>
        <v>222122.35</v>
      </c>
      <c r="E46" s="87">
        <f>SUM('Ingresos Reales'!E42)</f>
        <v>156799.53</v>
      </c>
      <c r="F46" s="87">
        <f>SUM('Ingresos Reales'!F42)</f>
        <v>160623.42000000001</v>
      </c>
      <c r="G46" s="87">
        <f>SUM('Ingresos Reales'!G42)</f>
        <v>121733.49</v>
      </c>
      <c r="H46" s="87">
        <f>SUM('Ingresos Reales'!H42)</f>
        <v>111708.48</v>
      </c>
      <c r="I46" s="87">
        <f>SUM('Ingresos Reales'!I42)</f>
        <v>149024.57</v>
      </c>
      <c r="J46" s="87">
        <f>SUM('Ingresos Reales'!J42)</f>
        <v>137687.35999999999</v>
      </c>
      <c r="K46" s="87">
        <f>SUM('Ingresos Reales'!K42)</f>
        <v>142572.21</v>
      </c>
      <c r="L46" s="87">
        <f>SUM('Ingresos Reales'!L42)</f>
        <v>123837.28</v>
      </c>
      <c r="M46" s="87">
        <f>SUM('Ingresos Reales'!M42)</f>
        <v>85899.42</v>
      </c>
      <c r="N46" s="87">
        <f t="shared" si="12"/>
        <v>1639521.5799999998</v>
      </c>
    </row>
    <row r="47" spans="1:14">
      <c r="A47" s="52" t="s">
        <v>261</v>
      </c>
      <c r="B47" s="87">
        <f>SUM('Ingresos Reales'!B43)</f>
        <v>0</v>
      </c>
      <c r="C47" s="87">
        <f>SUM('Ingresos Reales'!C43)</f>
        <v>0</v>
      </c>
      <c r="D47" s="87">
        <f>SUM('Ingresos Reales'!D43)</f>
        <v>0</v>
      </c>
      <c r="E47" s="87">
        <f>SUM('Ingresos Reales'!E43)</f>
        <v>0</v>
      </c>
      <c r="F47" s="87">
        <f>SUM('Ingresos Reales'!F43)</f>
        <v>0</v>
      </c>
      <c r="G47" s="87">
        <f>SUM('Ingresos Reales'!G43)</f>
        <v>0</v>
      </c>
      <c r="H47" s="87">
        <f>SUM('Ingresos Reales'!H43)</f>
        <v>0</v>
      </c>
      <c r="I47" s="87">
        <f>SUM('Ingresos Reales'!I43)</f>
        <v>0</v>
      </c>
      <c r="J47" s="87">
        <f>SUM('Ingresos Reales'!J43)</f>
        <v>0</v>
      </c>
      <c r="K47" s="87">
        <f>SUM('Ingresos Reales'!K43)</f>
        <v>0</v>
      </c>
      <c r="L47" s="87">
        <f>SUM('Ingresos Reales'!L43)</f>
        <v>0</v>
      </c>
      <c r="M47" s="87">
        <f>SUM('Ingresos Reales'!M43)</f>
        <v>0</v>
      </c>
      <c r="N47" s="87">
        <f t="shared" si="12"/>
        <v>0</v>
      </c>
    </row>
    <row r="48" spans="1:14">
      <c r="A48" s="52" t="s">
        <v>84</v>
      </c>
      <c r="B48" s="87">
        <f>SUM('Ingresos Reales'!B44)</f>
        <v>12</v>
      </c>
      <c r="C48" s="87">
        <f>SUM('Ingresos Reales'!C44)</f>
        <v>98.7</v>
      </c>
      <c r="D48" s="87">
        <f>SUM('Ingresos Reales'!D44)</f>
        <v>84.34</v>
      </c>
      <c r="E48" s="87">
        <f>SUM('Ingresos Reales'!E44)</f>
        <v>0</v>
      </c>
      <c r="F48" s="87">
        <f>SUM('Ingresos Reales'!F44)</f>
        <v>23</v>
      </c>
      <c r="G48" s="87">
        <f>SUM('Ingresos Reales'!G44)</f>
        <v>83</v>
      </c>
      <c r="H48" s="87">
        <f>SUM('Ingresos Reales'!H44)</f>
        <v>0</v>
      </c>
      <c r="I48" s="87">
        <f>SUM('Ingresos Reales'!I44)</f>
        <v>34.1</v>
      </c>
      <c r="J48" s="87">
        <f>SUM('Ingresos Reales'!J44)</f>
        <v>0</v>
      </c>
      <c r="K48" s="87">
        <f>SUM('Ingresos Reales'!K44)</f>
        <v>104</v>
      </c>
      <c r="L48" s="87">
        <f>SUM('Ingresos Reales'!L44)</f>
        <v>85.3</v>
      </c>
      <c r="M48" s="87">
        <f>SUM('Ingresos Reales'!M44)</f>
        <v>142.1</v>
      </c>
      <c r="N48" s="87">
        <f t="shared" si="12"/>
        <v>666.54000000000008</v>
      </c>
    </row>
    <row r="49" spans="1:14">
      <c r="A49" s="53" t="s">
        <v>87</v>
      </c>
      <c r="B49" s="394">
        <f>SUM(B38:B48)</f>
        <v>141143.74</v>
      </c>
      <c r="C49" s="394">
        <f t="shared" ref="C49:N49" si="13">SUM(C38:C48)</f>
        <v>215527.43000000002</v>
      </c>
      <c r="D49" s="394">
        <f t="shared" si="13"/>
        <v>630870.19999999995</v>
      </c>
      <c r="E49" s="394">
        <f t="shared" si="13"/>
        <v>581001.53</v>
      </c>
      <c r="F49" s="394">
        <f t="shared" si="13"/>
        <v>1292696.42</v>
      </c>
      <c r="G49" s="394">
        <f t="shared" si="13"/>
        <v>606682.11</v>
      </c>
      <c r="H49" s="394">
        <f t="shared" ref="H49" si="14">SUM(H38:H48)</f>
        <v>612763.94000000006</v>
      </c>
      <c r="I49" s="394">
        <f t="shared" si="13"/>
        <v>1028170.3099999999</v>
      </c>
      <c r="J49" s="394">
        <f t="shared" ref="J49" si="15">SUM(J38:J48)</f>
        <v>977775.93</v>
      </c>
      <c r="K49" s="394">
        <f t="shared" si="13"/>
        <v>547214.82999999996</v>
      </c>
      <c r="L49" s="394">
        <f t="shared" si="13"/>
        <v>344413.18</v>
      </c>
      <c r="M49" s="394">
        <f t="shared" si="13"/>
        <v>236141.44000000003</v>
      </c>
      <c r="N49" s="394">
        <f t="shared" si="13"/>
        <v>7214401.0599999996</v>
      </c>
    </row>
    <row r="50" spans="1:14">
      <c r="A50" s="51" t="s">
        <v>21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</row>
    <row r="51" spans="1:14">
      <c r="A51" s="52" t="s">
        <v>88</v>
      </c>
      <c r="B51" s="87">
        <f>SUM('Ingresos Reales'!B47)</f>
        <v>1566996.12</v>
      </c>
      <c r="C51" s="87">
        <f>SUM('Ingresos Reales'!C47)</f>
        <v>2728617.28</v>
      </c>
      <c r="D51" s="87">
        <f>SUM('Ingresos Reales'!D47)</f>
        <v>5030357.5599999996</v>
      </c>
      <c r="E51" s="87">
        <f>SUM('Ingresos Reales'!E47)</f>
        <v>7179541.7599999998</v>
      </c>
      <c r="F51" s="87">
        <f>SUM('Ingresos Reales'!F47)</f>
        <v>743916.39</v>
      </c>
      <c r="G51" s="87">
        <f>SUM('Ingresos Reales'!G47)</f>
        <v>6403008.5999999996</v>
      </c>
      <c r="H51" s="87">
        <f>SUM('Ingresos Reales'!H47)</f>
        <v>2434739</v>
      </c>
      <c r="I51" s="87">
        <f>SUM('Ingresos Reales'!I47)</f>
        <v>6776265.21</v>
      </c>
      <c r="J51" s="87">
        <f>SUM('Ingresos Reales'!J47)</f>
        <v>4578560.12</v>
      </c>
      <c r="K51" s="87">
        <f>SUM('Ingresos Reales'!K47)</f>
        <v>1686694.62</v>
      </c>
      <c r="L51" s="87">
        <f>SUM('Ingresos Reales'!L47)</f>
        <v>1012951.61</v>
      </c>
      <c r="M51" s="87">
        <f>SUM('Ingresos Reales'!M47)</f>
        <v>399352.64</v>
      </c>
      <c r="N51" s="87">
        <f t="shared" ref="N51:N57" si="16">SUM(B51:M51)</f>
        <v>40541000.909999996</v>
      </c>
    </row>
    <row r="52" spans="1:14">
      <c r="A52" s="52" t="s">
        <v>89</v>
      </c>
      <c r="B52" s="87">
        <f>SUM('Ingresos Reales'!B48)</f>
        <v>984626.22</v>
      </c>
      <c r="C52" s="87">
        <f>SUM('Ingresos Reales'!C48)</f>
        <v>3197410.5</v>
      </c>
      <c r="D52" s="87">
        <f>SUM('Ingresos Reales'!D48)</f>
        <v>1668294.3</v>
      </c>
      <c r="E52" s="87">
        <f>SUM('Ingresos Reales'!E48)</f>
        <v>641618.49</v>
      </c>
      <c r="F52" s="87">
        <f>SUM('Ingresos Reales'!F48)</f>
        <v>1517161.37</v>
      </c>
      <c r="G52" s="87">
        <f>SUM('Ingresos Reales'!G48)</f>
        <v>1194769.53</v>
      </c>
      <c r="H52" s="87">
        <f>SUM('Ingresos Reales'!H48)</f>
        <v>1032931.2</v>
      </c>
      <c r="I52" s="87">
        <f>SUM('Ingresos Reales'!I48)</f>
        <v>1576060</v>
      </c>
      <c r="J52" s="87">
        <f>SUM('Ingresos Reales'!J48)</f>
        <v>958417.9</v>
      </c>
      <c r="K52" s="87">
        <f>SUM('Ingresos Reales'!K48)</f>
        <v>1136033.3</v>
      </c>
      <c r="L52" s="87">
        <f>SUM('Ingresos Reales'!L48)</f>
        <v>1011492.92</v>
      </c>
      <c r="M52" s="87">
        <f>SUM('Ingresos Reales'!M48)</f>
        <v>12691110.699999999</v>
      </c>
      <c r="N52" s="87">
        <f t="shared" si="16"/>
        <v>27609926.43</v>
      </c>
    </row>
    <row r="53" spans="1:14">
      <c r="A53" s="52" t="s">
        <v>262</v>
      </c>
      <c r="B53" s="87">
        <f>SUM('Ingresos Reales'!B49)</f>
        <v>0</v>
      </c>
      <c r="C53" s="87">
        <f>SUM('Ingresos Reales'!C49)</f>
        <v>0</v>
      </c>
      <c r="D53" s="87">
        <f>SUM('Ingresos Reales'!D49)</f>
        <v>0</v>
      </c>
      <c r="E53" s="87">
        <f>SUM('Ingresos Reales'!E49)</f>
        <v>0</v>
      </c>
      <c r="F53" s="87">
        <f>SUM('Ingresos Reales'!F49)</f>
        <v>0</v>
      </c>
      <c r="G53" s="87">
        <f>SUM('Ingresos Reales'!G49)</f>
        <v>0</v>
      </c>
      <c r="H53" s="87">
        <f>SUM('Ingresos Reales'!H49)</f>
        <v>0</v>
      </c>
      <c r="I53" s="87">
        <f>SUM('Ingresos Reales'!I49)</f>
        <v>0</v>
      </c>
      <c r="J53" s="87">
        <f>SUM('Ingresos Reales'!J49)</f>
        <v>0</v>
      </c>
      <c r="K53" s="87">
        <f>SUM('Ingresos Reales'!K49)</f>
        <v>0</v>
      </c>
      <c r="L53" s="87">
        <f>SUM('Ingresos Reales'!L49)</f>
        <v>0</v>
      </c>
      <c r="M53" s="87">
        <f>SUM('Ingresos Reales'!M49)</f>
        <v>0</v>
      </c>
      <c r="N53" s="87">
        <f t="shared" si="16"/>
        <v>0</v>
      </c>
    </row>
    <row r="54" spans="1:14">
      <c r="A54" s="52" t="s">
        <v>313</v>
      </c>
      <c r="B54" s="87">
        <f>SUM('Ingresos Reales'!B50)</f>
        <v>0</v>
      </c>
      <c r="C54" s="87">
        <f>SUM('Ingresos Reales'!C50)</f>
        <v>0</v>
      </c>
      <c r="D54" s="87">
        <f>SUM('Ingresos Reales'!D50)</f>
        <v>0</v>
      </c>
      <c r="E54" s="87">
        <f>SUM('Ingresos Reales'!E50)</f>
        <v>0</v>
      </c>
      <c r="F54" s="87">
        <f>SUM('Ingresos Reales'!F50)</f>
        <v>0</v>
      </c>
      <c r="G54" s="87">
        <f>SUM('Ingresos Reales'!G50)</f>
        <v>0</v>
      </c>
      <c r="H54" s="87">
        <f>SUM('Ingresos Reales'!H50)</f>
        <v>0</v>
      </c>
      <c r="I54" s="87">
        <f>SUM('Ingresos Reales'!I50)</f>
        <v>0</v>
      </c>
      <c r="J54" s="87">
        <f>SUM('Ingresos Reales'!J50)</f>
        <v>0</v>
      </c>
      <c r="K54" s="87">
        <f>SUM('Ingresos Reales'!K50)</f>
        <v>0</v>
      </c>
      <c r="L54" s="87">
        <f>SUM('Ingresos Reales'!L50)</f>
        <v>0</v>
      </c>
      <c r="M54" s="87">
        <f>SUM('Ingresos Reales'!M50)</f>
        <v>0</v>
      </c>
      <c r="N54" s="87">
        <f t="shared" si="16"/>
        <v>0</v>
      </c>
    </row>
    <row r="55" spans="1:14">
      <c r="A55" s="52" t="s">
        <v>263</v>
      </c>
      <c r="B55" s="87">
        <f>SUM('Ingresos Reales'!B51)</f>
        <v>0</v>
      </c>
      <c r="C55" s="87">
        <f>SUM('Ingresos Reales'!C51)</f>
        <v>0</v>
      </c>
      <c r="D55" s="87">
        <f>SUM('Ingresos Reales'!D51)</f>
        <v>0</v>
      </c>
      <c r="E55" s="87">
        <f>SUM('Ingresos Reales'!E51)</f>
        <v>0</v>
      </c>
      <c r="F55" s="87">
        <f>SUM('Ingresos Reales'!F51)</f>
        <v>0</v>
      </c>
      <c r="G55" s="87">
        <f>SUM('Ingresos Reales'!G51)</f>
        <v>0</v>
      </c>
      <c r="H55" s="87">
        <f>SUM('Ingresos Reales'!H51)</f>
        <v>0</v>
      </c>
      <c r="I55" s="87">
        <f>SUM('Ingresos Reales'!I51)</f>
        <v>0</v>
      </c>
      <c r="J55" s="87">
        <f>SUM('Ingresos Reales'!J51)</f>
        <v>0</v>
      </c>
      <c r="K55" s="87">
        <f>SUM('Ingresos Reales'!K51)</f>
        <v>0</v>
      </c>
      <c r="L55" s="87">
        <f>SUM('Ingresos Reales'!L51)</f>
        <v>0</v>
      </c>
      <c r="M55" s="87">
        <f>SUM('Ingresos Reales'!M51)</f>
        <v>0</v>
      </c>
      <c r="N55" s="87">
        <f t="shared" si="16"/>
        <v>0</v>
      </c>
    </row>
    <row r="56" spans="1:14">
      <c r="A56" s="52" t="s">
        <v>84</v>
      </c>
      <c r="B56" s="87">
        <f>SUM('Ingresos Reales'!B52)</f>
        <v>62068.1</v>
      </c>
      <c r="C56" s="87">
        <f>SUM('Ingresos Reales'!C52)</f>
        <v>69669.5</v>
      </c>
      <c r="D56" s="87">
        <f>SUM('Ingresos Reales'!D52)</f>
        <v>113234.09</v>
      </c>
      <c r="E56" s="87">
        <f>SUM('Ingresos Reales'!E52)</f>
        <v>452704.1</v>
      </c>
      <c r="F56" s="87">
        <f>SUM('Ingresos Reales'!F52)</f>
        <v>238486.25</v>
      </c>
      <c r="G56" s="87">
        <f>SUM('Ingresos Reales'!G52)</f>
        <v>311693.65999999997</v>
      </c>
      <c r="H56" s="87">
        <f>SUM('Ingresos Reales'!H52)</f>
        <v>185759.08</v>
      </c>
      <c r="I56" s="87">
        <f>SUM('Ingresos Reales'!I52)</f>
        <v>151916.9</v>
      </c>
      <c r="J56" s="87">
        <f>SUM('Ingresos Reales'!J52)</f>
        <v>1213848.07</v>
      </c>
      <c r="K56" s="87">
        <f>SUM('Ingresos Reales'!K52)</f>
        <v>95387.1</v>
      </c>
      <c r="L56" s="87">
        <f>SUM('Ingresos Reales'!L52)</f>
        <v>89360.8</v>
      </c>
      <c r="M56" s="87">
        <f>SUM('Ingresos Reales'!M52)</f>
        <v>238678.6</v>
      </c>
      <c r="N56" s="87">
        <f t="shared" si="16"/>
        <v>3222806.25</v>
      </c>
    </row>
    <row r="57" spans="1:14">
      <c r="A57" s="52" t="s">
        <v>255</v>
      </c>
      <c r="B57" s="87">
        <f>SUM('Ingresos Reales'!B53)</f>
        <v>132573.63</v>
      </c>
      <c r="C57" s="87">
        <f>SUM('Ingresos Reales'!C53)</f>
        <v>105912.93</v>
      </c>
      <c r="D57" s="87">
        <f>SUM('Ingresos Reales'!D53)</f>
        <v>133235.68</v>
      </c>
      <c r="E57" s="87">
        <f>SUM('Ingresos Reales'!E53)</f>
        <v>271835.33</v>
      </c>
      <c r="F57" s="87">
        <f>SUM('Ingresos Reales'!F53)</f>
        <v>331104.68</v>
      </c>
      <c r="G57" s="87">
        <f>SUM('Ingresos Reales'!G53)</f>
        <v>376497.15</v>
      </c>
      <c r="H57" s="87">
        <f>SUM('Ingresos Reales'!H53)</f>
        <v>303183.27</v>
      </c>
      <c r="I57" s="87">
        <f>SUM('Ingresos Reales'!I53)</f>
        <v>341265</v>
      </c>
      <c r="J57" s="87">
        <f>SUM('Ingresos Reales'!J53)</f>
        <v>222347.24</v>
      </c>
      <c r="K57" s="87">
        <f>SUM('Ingresos Reales'!K53)</f>
        <v>529760.98</v>
      </c>
      <c r="L57" s="87">
        <f>SUM('Ingresos Reales'!L53)</f>
        <v>321239.84000000003</v>
      </c>
      <c r="M57" s="87">
        <f>SUM('Ingresos Reales'!M53)</f>
        <v>221041.99</v>
      </c>
      <c r="N57" s="87">
        <f t="shared" si="16"/>
        <v>3289997.7199999997</v>
      </c>
    </row>
    <row r="58" spans="1:14">
      <c r="A58" s="74" t="s">
        <v>90</v>
      </c>
      <c r="B58" s="575">
        <f>SUM(B51:B57)</f>
        <v>2746264.07</v>
      </c>
      <c r="C58" s="575">
        <f t="shared" ref="C58:N58" si="17">SUM(C51:C57)</f>
        <v>6101610.209999999</v>
      </c>
      <c r="D58" s="575">
        <f t="shared" si="17"/>
        <v>6945121.629999999</v>
      </c>
      <c r="E58" s="575">
        <f t="shared" si="17"/>
        <v>8545699.6799999997</v>
      </c>
      <c r="F58" s="575">
        <f t="shared" si="17"/>
        <v>2830668.6900000004</v>
      </c>
      <c r="G58" s="575">
        <f t="shared" si="17"/>
        <v>8285968.9400000004</v>
      </c>
      <c r="H58" s="575">
        <f t="shared" ref="H58" si="18">SUM(H51:H57)</f>
        <v>3956612.5500000003</v>
      </c>
      <c r="I58" s="575">
        <f t="shared" si="17"/>
        <v>8845507.1099999994</v>
      </c>
      <c r="J58" s="575">
        <f t="shared" ref="J58" si="19">SUM(J51:J57)</f>
        <v>6973173.330000001</v>
      </c>
      <c r="K58" s="575">
        <f t="shared" si="17"/>
        <v>3447876</v>
      </c>
      <c r="L58" s="575">
        <f t="shared" si="17"/>
        <v>2435045.17</v>
      </c>
      <c r="M58" s="575">
        <f t="shared" si="17"/>
        <v>13550183.93</v>
      </c>
      <c r="N58" s="575">
        <f t="shared" si="17"/>
        <v>74663731.310000002</v>
      </c>
    </row>
    <row r="59" spans="1:14">
      <c r="A59" s="88"/>
      <c r="B59" s="576"/>
      <c r="C59" s="576"/>
      <c r="D59" s="576"/>
      <c r="E59" s="576"/>
      <c r="F59" s="576"/>
      <c r="G59" s="576"/>
      <c r="H59" s="576"/>
      <c r="I59" s="576"/>
      <c r="J59" s="576"/>
      <c r="K59" s="576"/>
      <c r="L59" s="576"/>
      <c r="M59" s="576"/>
      <c r="N59" s="576"/>
    </row>
    <row r="60" spans="1:14">
      <c r="A60" s="86" t="s">
        <v>22</v>
      </c>
      <c r="B60" s="577"/>
      <c r="C60" s="577"/>
      <c r="D60" s="577"/>
      <c r="E60" s="577"/>
      <c r="F60" s="577"/>
      <c r="G60" s="577"/>
      <c r="H60" s="577"/>
      <c r="I60" s="577"/>
      <c r="J60" s="577"/>
      <c r="K60" s="577"/>
      <c r="L60" s="577"/>
      <c r="M60" s="577"/>
      <c r="N60" s="577"/>
    </row>
    <row r="61" spans="1:14">
      <c r="A61" s="52" t="s">
        <v>91</v>
      </c>
      <c r="B61" s="87">
        <f>SUM('Ingresos Reales'!B56)</f>
        <v>20720252.710000001</v>
      </c>
      <c r="C61" s="87">
        <f>SUM('Ingresos Reales'!C56)</f>
        <v>25853451</v>
      </c>
      <c r="D61" s="87">
        <f>SUM('Ingresos Reales'!D56)</f>
        <v>19232990</v>
      </c>
      <c r="E61" s="87">
        <f>SUM('Ingresos Reales'!E56)</f>
        <v>21488746</v>
      </c>
      <c r="F61" s="87">
        <f>SUM('Ingresos Reales'!F56)</f>
        <v>19807397</v>
      </c>
      <c r="G61" s="87">
        <f>SUM('Ingresos Reales'!G56)</f>
        <v>22034204</v>
      </c>
      <c r="H61" s="87">
        <f>SUM('Ingresos Reales'!H56)</f>
        <v>24872870</v>
      </c>
      <c r="I61" s="87">
        <f>SUM('Ingresos Reales'!I56)</f>
        <v>18040849</v>
      </c>
      <c r="J61" s="87">
        <f>SUM('Ingresos Reales'!J56)</f>
        <v>20535604</v>
      </c>
      <c r="K61" s="87">
        <f>SUM('Ingresos Reales'!K56)</f>
        <v>26941074</v>
      </c>
      <c r="L61" s="87">
        <f>SUM('Ingresos Reales'!L56)</f>
        <v>22673684</v>
      </c>
      <c r="M61" s="87">
        <f>SUM('Ingresos Reales'!M56)</f>
        <v>49899604</v>
      </c>
      <c r="N61" s="87">
        <f t="shared" ref="N61:N67" si="20">SUM(B61:M61)</f>
        <v>292100725.71000004</v>
      </c>
    </row>
    <row r="62" spans="1:14">
      <c r="A62" s="52" t="s">
        <v>92</v>
      </c>
      <c r="B62" s="87">
        <f>SUM('Ingresos Reales'!B57)</f>
        <v>1046497</v>
      </c>
      <c r="C62" s="87">
        <f>SUM('Ingresos Reales'!C57)</f>
        <v>2279451</v>
      </c>
      <c r="D62" s="87">
        <f>SUM('Ingresos Reales'!D57)</f>
        <v>3612372</v>
      </c>
      <c r="E62" s="87">
        <f>SUM('Ingresos Reales'!E57)</f>
        <v>1898637</v>
      </c>
      <c r="F62" s="87">
        <f>SUM('Ingresos Reales'!F57)</f>
        <v>4521768</v>
      </c>
      <c r="G62" s="87">
        <f>SUM('Ingresos Reales'!G57)</f>
        <v>1702403</v>
      </c>
      <c r="H62" s="87">
        <f>SUM('Ingresos Reales'!H57)</f>
        <v>2344120</v>
      </c>
      <c r="I62" s="87">
        <f>SUM('Ingresos Reales'!I57)</f>
        <v>1559717</v>
      </c>
      <c r="J62" s="87">
        <f>SUM('Ingresos Reales'!J57)</f>
        <v>2161452</v>
      </c>
      <c r="K62" s="87">
        <f>SUM('Ingresos Reales'!K57)</f>
        <v>2450788</v>
      </c>
      <c r="L62" s="87">
        <f>SUM('Ingresos Reales'!L57)</f>
        <v>2887790</v>
      </c>
      <c r="M62" s="87">
        <f>SUM('Ingresos Reales'!M57)</f>
        <v>2431028</v>
      </c>
      <c r="N62" s="87">
        <f t="shared" si="20"/>
        <v>28896023</v>
      </c>
    </row>
    <row r="63" spans="1:14">
      <c r="A63" s="52" t="s">
        <v>341</v>
      </c>
      <c r="B63" s="87">
        <f>SUM('Ingresos Reales'!B58)</f>
        <v>0</v>
      </c>
      <c r="C63" s="87">
        <f>SUM('Ingresos Reales'!C58)</f>
        <v>0</v>
      </c>
      <c r="D63" s="87">
        <f>SUM('Ingresos Reales'!D58)</f>
        <v>0</v>
      </c>
      <c r="E63" s="87">
        <f>SUM('Ingresos Reales'!E58)</f>
        <v>0</v>
      </c>
      <c r="F63" s="87">
        <f>SUM('Ingresos Reales'!F58)</f>
        <v>0</v>
      </c>
      <c r="G63" s="87">
        <f>SUM('Ingresos Reales'!G58)</f>
        <v>0</v>
      </c>
      <c r="H63" s="87">
        <f>SUM('Ingresos Reales'!H58)</f>
        <v>0</v>
      </c>
      <c r="I63" s="87">
        <f>SUM('Ingresos Reales'!I58)</f>
        <v>0</v>
      </c>
      <c r="J63" s="87">
        <f>SUM('Ingresos Reales'!J58)</f>
        <v>0</v>
      </c>
      <c r="K63" s="87">
        <f>SUM('Ingresos Reales'!K58)</f>
        <v>0</v>
      </c>
      <c r="L63" s="87">
        <f>SUM('Ingresos Reales'!L58)</f>
        <v>0</v>
      </c>
      <c r="M63" s="87">
        <f>SUM('Ingresos Reales'!M58)</f>
        <v>0</v>
      </c>
      <c r="N63" s="87">
        <f t="shared" si="20"/>
        <v>0</v>
      </c>
    </row>
    <row r="64" spans="1:14">
      <c r="A64" s="52" t="s">
        <v>264</v>
      </c>
      <c r="B64" s="87">
        <f>SUM('Ingresos Reales'!B59)</f>
        <v>0</v>
      </c>
      <c r="C64" s="87">
        <f>SUM('Ingresos Reales'!C59)</f>
        <v>6066464</v>
      </c>
      <c r="D64" s="87">
        <f>SUM('Ingresos Reales'!D59)</f>
        <v>4018376</v>
      </c>
      <c r="E64" s="87">
        <f>SUM('Ingresos Reales'!E59)</f>
        <v>3961355</v>
      </c>
      <c r="F64" s="87">
        <f>SUM('Ingresos Reales'!F59)</f>
        <v>2990049</v>
      </c>
      <c r="G64" s="87">
        <f>SUM('Ingresos Reales'!G59)</f>
        <v>2251020</v>
      </c>
      <c r="H64" s="87">
        <f>SUM('Ingresos Reales'!H59)</f>
        <v>1261228</v>
      </c>
      <c r="I64" s="87">
        <f>SUM('Ingresos Reales'!I59)</f>
        <v>3082949</v>
      </c>
      <c r="J64" s="87">
        <f>SUM('Ingresos Reales'!J59)</f>
        <v>2864448</v>
      </c>
      <c r="K64" s="87">
        <f>SUM('Ingresos Reales'!K59)</f>
        <v>1225496</v>
      </c>
      <c r="L64" s="87">
        <f>SUM('Ingresos Reales'!L59)</f>
        <v>882307</v>
      </c>
      <c r="M64" s="87">
        <f>SUM('Ingresos Reales'!M59)</f>
        <v>484388</v>
      </c>
      <c r="N64" s="87">
        <f t="shared" si="20"/>
        <v>29088080</v>
      </c>
    </row>
    <row r="65" spans="1:14">
      <c r="A65" s="52" t="s">
        <v>93</v>
      </c>
      <c r="B65" s="87">
        <f>SUM('Ingresos Reales'!B60)</f>
        <v>0</v>
      </c>
      <c r="C65" s="87">
        <f>SUM('Ingresos Reales'!C60)</f>
        <v>0</v>
      </c>
      <c r="D65" s="87">
        <f>SUM('Ingresos Reales'!D60)</f>
        <v>0</v>
      </c>
      <c r="E65" s="87">
        <f>SUM('Ingresos Reales'!E60)</f>
        <v>0</v>
      </c>
      <c r="F65" s="87">
        <f>SUM('Ingresos Reales'!F60)</f>
        <v>0</v>
      </c>
      <c r="G65" s="87">
        <f>SUM('Ingresos Reales'!G60)</f>
        <v>0</v>
      </c>
      <c r="H65" s="87">
        <f>SUM('Ingresos Reales'!H60)</f>
        <v>0</v>
      </c>
      <c r="I65" s="87">
        <f>SUM('Ingresos Reales'!I60)</f>
        <v>0</v>
      </c>
      <c r="J65" s="87">
        <f>SUM('Ingresos Reales'!J60)</f>
        <v>0</v>
      </c>
      <c r="K65" s="87">
        <f>SUM('Ingresos Reales'!K60)</f>
        <v>0</v>
      </c>
      <c r="L65" s="87">
        <f>SUM('Ingresos Reales'!L60)</f>
        <v>0</v>
      </c>
      <c r="M65" s="87">
        <f>SUM('Ingresos Reales'!M60)</f>
        <v>0</v>
      </c>
      <c r="N65" s="87">
        <f t="shared" si="20"/>
        <v>0</v>
      </c>
    </row>
    <row r="66" spans="1:14">
      <c r="A66" s="52" t="s">
        <v>265</v>
      </c>
      <c r="B66" s="87">
        <f>SUM('Ingresos Reales'!B61)</f>
        <v>534538</v>
      </c>
      <c r="C66" s="87">
        <f>SUM('Ingresos Reales'!C61)</f>
        <v>559687</v>
      </c>
      <c r="D66" s="87">
        <f>SUM('Ingresos Reales'!D61)</f>
        <v>350439</v>
      </c>
      <c r="E66" s="87">
        <f>SUM('Ingresos Reales'!E61)</f>
        <v>430938</v>
      </c>
      <c r="F66" s="87">
        <f>SUM('Ingresos Reales'!F61)</f>
        <v>167685</v>
      </c>
      <c r="G66" s="87">
        <f>SUM('Ingresos Reales'!G61)</f>
        <v>445841</v>
      </c>
      <c r="H66" s="87">
        <f>SUM('Ingresos Reales'!H61)</f>
        <v>248324</v>
      </c>
      <c r="I66" s="87">
        <f>SUM('Ingresos Reales'!I61)</f>
        <v>301421</v>
      </c>
      <c r="J66" s="87">
        <f>SUM('Ingresos Reales'!J61)</f>
        <v>235679</v>
      </c>
      <c r="K66" s="87">
        <f>SUM('Ingresos Reales'!K61)</f>
        <v>366857</v>
      </c>
      <c r="L66" s="87">
        <f>SUM('Ingresos Reales'!L61)</f>
        <v>298274</v>
      </c>
      <c r="M66" s="87">
        <f>SUM('Ingresos Reales'!M61)</f>
        <v>260267</v>
      </c>
      <c r="N66" s="87">
        <f t="shared" si="20"/>
        <v>4199950</v>
      </c>
    </row>
    <row r="67" spans="1:14">
      <c r="A67" s="52" t="s">
        <v>314</v>
      </c>
      <c r="B67" s="87">
        <f>SUM('Ingresos Reales'!B62)</f>
        <v>789786</v>
      </c>
      <c r="C67" s="87">
        <f>SUM('Ingresos Reales'!C62)</f>
        <v>1846000</v>
      </c>
      <c r="D67" s="87">
        <f>SUM('Ingresos Reales'!D62)</f>
        <v>407954</v>
      </c>
      <c r="E67" s="87">
        <f>SUM('Ingresos Reales'!E62)</f>
        <v>648743</v>
      </c>
      <c r="F67" s="87">
        <f>SUM('Ingresos Reales'!F62)</f>
        <v>626993</v>
      </c>
      <c r="G67" s="87">
        <f>SUM('Ingresos Reales'!G62)</f>
        <v>128967</v>
      </c>
      <c r="H67" s="87">
        <f>SUM('Ingresos Reales'!H62)</f>
        <v>740877</v>
      </c>
      <c r="I67" s="87">
        <f>SUM('Ingresos Reales'!I62)</f>
        <v>733954</v>
      </c>
      <c r="J67" s="87">
        <f>SUM('Ingresos Reales'!J62)</f>
        <v>673540</v>
      </c>
      <c r="K67" s="87">
        <f>SUM('Ingresos Reales'!K62)</f>
        <v>875422</v>
      </c>
      <c r="L67" s="87">
        <f>SUM('Ingresos Reales'!L62)</f>
        <v>697015</v>
      </c>
      <c r="M67" s="87">
        <f>SUM('Ingresos Reales'!M62)</f>
        <v>694784</v>
      </c>
      <c r="N67" s="87">
        <f t="shared" si="20"/>
        <v>8864035</v>
      </c>
    </row>
    <row r="68" spans="1:14">
      <c r="A68" s="52" t="s">
        <v>447</v>
      </c>
      <c r="B68" s="87">
        <f>SUM('Ingresos Reales'!B63)</f>
        <v>1157354</v>
      </c>
      <c r="C68" s="87">
        <f>SUM('Ingresos Reales'!C63)</f>
        <v>785230</v>
      </c>
      <c r="D68" s="87">
        <f>SUM('Ingresos Reales'!D63)</f>
        <v>785230</v>
      </c>
      <c r="E68" s="87">
        <f>SUM('Ingresos Reales'!E63)</f>
        <v>1480801</v>
      </c>
      <c r="F68" s="87">
        <f>SUM('Ingresos Reales'!F63)</f>
        <v>785230</v>
      </c>
      <c r="G68" s="87">
        <f>SUM('Ingresos Reales'!G63)</f>
        <v>782665</v>
      </c>
      <c r="H68" s="87">
        <f>SUM('Ingresos Reales'!H63)</f>
        <v>1399487</v>
      </c>
      <c r="I68" s="87">
        <f>SUM('Ingresos Reales'!I63)</f>
        <v>785230</v>
      </c>
      <c r="J68" s="87">
        <f>SUM('Ingresos Reales'!J63)</f>
        <v>785230</v>
      </c>
      <c r="K68" s="87">
        <f>SUM('Ingresos Reales'!K63)</f>
        <v>1331460</v>
      </c>
      <c r="L68" s="87">
        <f>SUM('Ingresos Reales'!L63)</f>
        <v>1026502</v>
      </c>
      <c r="M68" s="87">
        <f>SUM('Ingresos Reales'!M63)</f>
        <v>992642</v>
      </c>
      <c r="N68" s="87">
        <f>SUM(B68:M68)</f>
        <v>12097061</v>
      </c>
    </row>
    <row r="69" spans="1:14">
      <c r="A69" s="52" t="s">
        <v>455</v>
      </c>
      <c r="B69" s="87">
        <f>SUM('Ingresos Reales'!B64)</f>
        <v>1661372</v>
      </c>
      <c r="C69" s="87">
        <f>SUM('Ingresos Reales'!C64)</f>
        <v>1185841</v>
      </c>
      <c r="D69" s="87">
        <f>SUM('Ingresos Reales'!D64)</f>
        <v>1833462</v>
      </c>
      <c r="E69" s="87">
        <f>SUM('Ingresos Reales'!E64)</f>
        <v>1425880</v>
      </c>
      <c r="F69" s="87">
        <f>SUM('Ingresos Reales'!F64)</f>
        <v>1463755</v>
      </c>
      <c r="G69" s="87">
        <f>SUM('Ingresos Reales'!G64)</f>
        <v>1449983</v>
      </c>
      <c r="H69" s="87">
        <f>SUM('Ingresos Reales'!H64)</f>
        <v>1469644</v>
      </c>
      <c r="I69" s="87">
        <f>SUM('Ingresos Reales'!I64)</f>
        <v>1578239</v>
      </c>
      <c r="J69" s="87">
        <f>SUM('Ingresos Reales'!J64)</f>
        <v>1509040</v>
      </c>
      <c r="K69" s="87">
        <f>SUM('Ingresos Reales'!K64)</f>
        <v>1558554</v>
      </c>
      <c r="L69" s="87">
        <f>SUM('Ingresos Reales'!L64)</f>
        <v>1461180</v>
      </c>
      <c r="M69" s="87">
        <f>SUM('Ingresos Reales'!M64)</f>
        <v>1547763</v>
      </c>
      <c r="N69" s="87">
        <f>SUM(B69:M69)</f>
        <v>18144713</v>
      </c>
    </row>
    <row r="70" spans="1:14">
      <c r="A70" s="53" t="s">
        <v>94</v>
      </c>
      <c r="B70" s="394">
        <f>SUM(B61:B69)</f>
        <v>25909799.710000001</v>
      </c>
      <c r="C70" s="394">
        <f t="shared" ref="C70:N70" si="21">SUM(C61:C69)</f>
        <v>38576124</v>
      </c>
      <c r="D70" s="394">
        <f t="shared" si="21"/>
        <v>30240823</v>
      </c>
      <c r="E70" s="394">
        <f t="shared" si="21"/>
        <v>31335100</v>
      </c>
      <c r="F70" s="394">
        <f t="shared" si="21"/>
        <v>30362877</v>
      </c>
      <c r="G70" s="394">
        <f t="shared" si="21"/>
        <v>28795083</v>
      </c>
      <c r="H70" s="394">
        <f t="shared" ref="H70" si="22">SUM(H61:H69)</f>
        <v>32336550</v>
      </c>
      <c r="I70" s="394">
        <f t="shared" si="21"/>
        <v>26082359</v>
      </c>
      <c r="J70" s="394">
        <f t="shared" ref="J70" si="23">SUM(J61:J69)</f>
        <v>28764993</v>
      </c>
      <c r="K70" s="394">
        <f t="shared" si="21"/>
        <v>34749651</v>
      </c>
      <c r="L70" s="394">
        <f t="shared" si="21"/>
        <v>29926752</v>
      </c>
      <c r="M70" s="394">
        <f t="shared" si="21"/>
        <v>56310476</v>
      </c>
      <c r="N70" s="394">
        <f t="shared" si="21"/>
        <v>393390587.71000004</v>
      </c>
    </row>
    <row r="71" spans="1:14">
      <c r="A71" s="54" t="s">
        <v>205</v>
      </c>
      <c r="B71" s="394"/>
      <c r="C71" s="394"/>
      <c r="D71" s="394"/>
      <c r="E71" s="394"/>
      <c r="F71" s="394"/>
      <c r="G71" s="394"/>
      <c r="H71" s="394"/>
      <c r="I71" s="394"/>
      <c r="J71" s="394"/>
      <c r="K71" s="394"/>
      <c r="L71" s="394"/>
      <c r="M71" s="394"/>
      <c r="N71" s="394"/>
    </row>
    <row r="72" spans="1:14">
      <c r="A72" s="55" t="s">
        <v>315</v>
      </c>
      <c r="B72" s="87">
        <f>SUM('Ingresos Reales'!B66)</f>
        <v>0</v>
      </c>
      <c r="C72" s="87">
        <f>SUM('Ingresos Reales'!C66)</f>
        <v>2569786.2000000002</v>
      </c>
      <c r="D72" s="87">
        <f>SUM('Ingresos Reales'!D66)</f>
        <v>1284893.1000000001</v>
      </c>
      <c r="E72" s="87">
        <f>SUM('Ingresos Reales'!E66)</f>
        <v>1284893.1000000001</v>
      </c>
      <c r="F72" s="87">
        <f>SUM('Ingresos Reales'!F66)</f>
        <v>1284893</v>
      </c>
      <c r="G72" s="87">
        <f>SUM('Ingresos Reales'!G66)</f>
        <v>1284893</v>
      </c>
      <c r="H72" s="87">
        <f>SUM('Ingresos Reales'!H66)</f>
        <v>1284893</v>
      </c>
      <c r="I72" s="87">
        <f>SUM('Ingresos Reales'!I66)</f>
        <v>1284893</v>
      </c>
      <c r="J72" s="87">
        <f>SUM('Ingresos Reales'!J66)</f>
        <v>1284893</v>
      </c>
      <c r="K72" s="87">
        <f>SUM('Ingresos Reales'!K66)</f>
        <v>1284893</v>
      </c>
      <c r="L72" s="87">
        <f>SUM('Ingresos Reales'!L66)</f>
        <v>0</v>
      </c>
      <c r="M72" s="87">
        <f>SUM('Ingresos Reales'!M66)</f>
        <v>0</v>
      </c>
      <c r="N72" s="87">
        <f t="shared" ref="N72:N77" si="24">SUM(B72:M72)</f>
        <v>12848930.4</v>
      </c>
    </row>
    <row r="73" spans="1:14">
      <c r="A73" s="55" t="s">
        <v>481</v>
      </c>
      <c r="B73" s="87">
        <f>SUM('Ingresos Reales'!B67)</f>
        <v>0</v>
      </c>
      <c r="C73" s="87">
        <f>SUM('Ingresos Reales'!C67)</f>
        <v>0</v>
      </c>
      <c r="D73" s="87">
        <f>SUM('Ingresos Reales'!D67)</f>
        <v>0</v>
      </c>
      <c r="E73" s="87">
        <f>SUM('Ingresos Reales'!E67)</f>
        <v>0</v>
      </c>
      <c r="F73" s="87">
        <f>SUM('Ingresos Reales'!F67)</f>
        <v>0</v>
      </c>
      <c r="G73" s="87">
        <f>SUM('Ingresos Reales'!G67)</f>
        <v>0</v>
      </c>
      <c r="H73" s="87">
        <f>SUM('Ingresos Reales'!H67)</f>
        <v>0</v>
      </c>
      <c r="I73" s="87">
        <f>SUM('Ingresos Reales'!I67)</f>
        <v>135.30000000000001</v>
      </c>
      <c r="J73" s="87">
        <f>SUM('Ingresos Reales'!J67)</f>
        <v>314.13</v>
      </c>
      <c r="K73" s="87">
        <f>SUM('Ingresos Reales'!K67)</f>
        <v>322.60000000000002</v>
      </c>
      <c r="L73" s="87">
        <f>SUM('Ingresos Reales'!L67)</f>
        <v>310.61</v>
      </c>
      <c r="M73" s="87">
        <f>SUM('Ingresos Reales'!M67)</f>
        <v>334.77</v>
      </c>
      <c r="N73" s="87">
        <f t="shared" si="24"/>
        <v>1417.4099999999999</v>
      </c>
    </row>
    <row r="74" spans="1:14">
      <c r="A74" s="55" t="s">
        <v>482</v>
      </c>
      <c r="B74" s="87">
        <f>SUM('Ingresos Reales'!B68)</f>
        <v>905.92</v>
      </c>
      <c r="C74" s="87">
        <f>SUM('Ingresos Reales'!C68)</f>
        <v>803.12</v>
      </c>
      <c r="D74" s="87">
        <f>SUM('Ingresos Reales'!D68)</f>
        <v>889.31</v>
      </c>
      <c r="E74" s="87">
        <f>SUM('Ingresos Reales'!E68)</f>
        <v>833.05</v>
      </c>
      <c r="F74" s="87">
        <f>SUM('Ingresos Reales'!F68)</f>
        <v>919.55</v>
      </c>
      <c r="G74" s="87">
        <f>SUM('Ingresos Reales'!G68)</f>
        <v>861.78</v>
      </c>
      <c r="H74" s="87">
        <f>SUM('Ingresos Reales'!H68)</f>
        <v>833.15</v>
      </c>
      <c r="I74" s="87">
        <f>SUM('Ingresos Reales'!I68)</f>
        <v>919.81</v>
      </c>
      <c r="J74" s="87">
        <f>SUM('Ingresos Reales'!J68)</f>
        <v>831.35</v>
      </c>
      <c r="K74" s="87">
        <f>SUM('Ingresos Reales'!K68)</f>
        <v>858.22</v>
      </c>
      <c r="L74" s="87">
        <f>SUM('Ingresos Reales'!L68)</f>
        <v>830.62</v>
      </c>
      <c r="M74" s="87">
        <f>SUM('Ingresos Reales'!M68)</f>
        <v>830.27</v>
      </c>
      <c r="N74" s="87">
        <f t="shared" si="24"/>
        <v>10316.15</v>
      </c>
    </row>
    <row r="75" spans="1:14">
      <c r="A75" s="55" t="s">
        <v>483</v>
      </c>
      <c r="B75" s="87">
        <f>SUM('Ingresos Reales'!B69)</f>
        <v>11638.65</v>
      </c>
      <c r="C75" s="87">
        <f>SUM('Ingresos Reales'!C69)</f>
        <v>10087.07</v>
      </c>
      <c r="D75" s="87">
        <f>SUM('Ingresos Reales'!D69)</f>
        <v>9884.42</v>
      </c>
      <c r="E75" s="87">
        <f>SUM('Ingresos Reales'!E69)</f>
        <v>5143.1000000000004</v>
      </c>
      <c r="F75" s="87">
        <f>SUM('Ingresos Reales'!F69)</f>
        <v>0</v>
      </c>
      <c r="G75" s="87">
        <f>SUM('Ingresos Reales'!G69)</f>
        <v>0</v>
      </c>
      <c r="H75" s="87">
        <f>SUM('Ingresos Reales'!H69)</f>
        <v>1121.96</v>
      </c>
      <c r="I75" s="87">
        <f>SUM('Ingresos Reales'!I69)</f>
        <v>333.26</v>
      </c>
      <c r="J75" s="87">
        <f>SUM('Ingresos Reales'!J69)</f>
        <v>833.21</v>
      </c>
      <c r="K75" s="87">
        <f>SUM('Ingresos Reales'!K69)</f>
        <v>605.87</v>
      </c>
      <c r="L75" s="87">
        <f>SUM('Ingresos Reales'!L69)</f>
        <v>244.76</v>
      </c>
      <c r="M75" s="87">
        <f>SUM('Ingresos Reales'!M69)</f>
        <v>270.73</v>
      </c>
      <c r="N75" s="87">
        <f t="shared" si="24"/>
        <v>40163.030000000006</v>
      </c>
    </row>
    <row r="76" spans="1:14">
      <c r="A76" s="55" t="s">
        <v>582</v>
      </c>
      <c r="B76" s="87">
        <f>SUM('Ingresos Reales'!B70)</f>
        <v>0</v>
      </c>
      <c r="C76" s="87">
        <f>SUM('Ingresos Reales'!C70)</f>
        <v>321.8</v>
      </c>
      <c r="D76" s="87">
        <f>SUM('Ingresos Reales'!D70)</f>
        <v>984.2</v>
      </c>
      <c r="E76" s="87">
        <f>SUM('Ingresos Reales'!E70)</f>
        <v>923.61</v>
      </c>
      <c r="F76" s="87">
        <f>SUM('Ingresos Reales'!F70)</f>
        <v>1021.66</v>
      </c>
      <c r="G76" s="87">
        <f>SUM('Ingresos Reales'!G70)</f>
        <v>961.71</v>
      </c>
      <c r="H76" s="87">
        <f>SUM('Ingresos Reales'!H70)</f>
        <v>932.58</v>
      </c>
      <c r="I76" s="87">
        <f>SUM('Ingresos Reales'!I70)</f>
        <v>1040.8499999999999</v>
      </c>
      <c r="J76" s="87">
        <f>SUM('Ingresos Reales'!J70)</f>
        <v>270.33999999999997</v>
      </c>
      <c r="K76" s="87">
        <f>SUM('Ingresos Reales'!K70)</f>
        <v>349.04</v>
      </c>
      <c r="L76" s="87">
        <f>SUM('Ingresos Reales'!L70)</f>
        <v>806.22</v>
      </c>
      <c r="M76" s="87">
        <f>SUM('Ingresos Reales'!M70)</f>
        <v>175.82</v>
      </c>
      <c r="N76" s="87">
        <f t="shared" si="24"/>
        <v>7787.83</v>
      </c>
    </row>
    <row r="77" spans="1:14">
      <c r="A77" s="55" t="s">
        <v>1148</v>
      </c>
      <c r="B77" s="87">
        <f>SUM('Ingresos Reales'!B71)</f>
        <v>0</v>
      </c>
      <c r="C77" s="87">
        <f>SUM('Ingresos Reales'!C71)</f>
        <v>0</v>
      </c>
      <c r="D77" s="87">
        <f>SUM('Ingresos Reales'!D71)</f>
        <v>8994.07</v>
      </c>
      <c r="E77" s="87">
        <f>SUM('Ingresos Reales'!E71)</f>
        <v>4706.2299999999996</v>
      </c>
      <c r="F77" s="87">
        <f>SUM('Ingresos Reales'!F71)</f>
        <v>4116.3999999999996</v>
      </c>
      <c r="G77" s="87">
        <f>SUM('Ingresos Reales'!G71)</f>
        <v>1803.79</v>
      </c>
      <c r="H77" s="87">
        <f>SUM('Ingresos Reales'!H71)</f>
        <v>5459.09</v>
      </c>
      <c r="I77" s="87">
        <f>SUM('Ingresos Reales'!I71)</f>
        <v>10859.13</v>
      </c>
      <c r="J77" s="87">
        <f>SUM('Ingresos Reales'!J71)</f>
        <v>13788.93</v>
      </c>
      <c r="K77" s="87">
        <f>SUM('Ingresos Reales'!K71)</f>
        <v>15767.39</v>
      </c>
      <c r="L77" s="87">
        <f>SUM('Ingresos Reales'!L71)</f>
        <v>23029.41</v>
      </c>
      <c r="M77" s="87">
        <f>SUM('Ingresos Reales'!M71)</f>
        <v>19421.740000000002</v>
      </c>
      <c r="N77" s="87">
        <f t="shared" si="24"/>
        <v>107946.18000000001</v>
      </c>
    </row>
    <row r="78" spans="1:14">
      <c r="A78" s="53" t="s">
        <v>316</v>
      </c>
      <c r="B78" s="394">
        <f>SUM(B72:B77)</f>
        <v>12544.57</v>
      </c>
      <c r="C78" s="394">
        <f t="shared" ref="C78:N78" si="25">SUM(C72:C77)</f>
        <v>2580998.19</v>
      </c>
      <c r="D78" s="394">
        <f t="shared" si="25"/>
        <v>1305645.1000000001</v>
      </c>
      <c r="E78" s="394">
        <f t="shared" si="25"/>
        <v>1296499.0900000003</v>
      </c>
      <c r="F78" s="394">
        <f t="shared" si="25"/>
        <v>1290950.6099999999</v>
      </c>
      <c r="G78" s="394">
        <f t="shared" si="25"/>
        <v>1288520.28</v>
      </c>
      <c r="H78" s="394">
        <f t="shared" ref="H78" si="26">SUM(H72:H77)</f>
        <v>1293239.78</v>
      </c>
      <c r="I78" s="394">
        <f t="shared" si="25"/>
        <v>1298181.3500000001</v>
      </c>
      <c r="J78" s="394">
        <f t="shared" ref="J78" si="27">SUM(J72:J77)</f>
        <v>1300930.96</v>
      </c>
      <c r="K78" s="394">
        <f t="shared" si="25"/>
        <v>1302796.1200000001</v>
      </c>
      <c r="L78" s="394">
        <f t="shared" si="25"/>
        <v>25221.62</v>
      </c>
      <c r="M78" s="394">
        <f t="shared" si="25"/>
        <v>21033.33</v>
      </c>
      <c r="N78" s="394">
        <f t="shared" si="25"/>
        <v>13016561</v>
      </c>
    </row>
    <row r="79" spans="1:14">
      <c r="A79" s="54" t="s">
        <v>127</v>
      </c>
      <c r="B79" s="394"/>
      <c r="C79" s="394"/>
      <c r="D79" s="394"/>
      <c r="E79" s="394"/>
      <c r="F79" s="394"/>
      <c r="G79" s="394"/>
      <c r="H79" s="394"/>
      <c r="I79" s="394"/>
      <c r="J79" s="394"/>
      <c r="K79" s="394"/>
      <c r="L79" s="394"/>
      <c r="M79" s="394"/>
      <c r="N79" s="394"/>
    </row>
    <row r="80" spans="1:14">
      <c r="A80" s="55" t="s">
        <v>315</v>
      </c>
      <c r="B80" s="87">
        <f>SUM('Ingresos Reales'!B73)</f>
        <v>0</v>
      </c>
      <c r="C80" s="87">
        <f>SUM('Ingresos Reales'!C73)</f>
        <v>36627272</v>
      </c>
      <c r="D80" s="393">
        <v>18313636</v>
      </c>
      <c r="E80" s="87">
        <f>SUM('Ingresos Reales'!E73)</f>
        <v>18313636</v>
      </c>
      <c r="F80" s="87">
        <f>SUM('Ingresos Reales'!F73)</f>
        <v>18313636</v>
      </c>
      <c r="G80" s="87">
        <f>SUM('Ingresos Reales'!G73)</f>
        <v>18313636</v>
      </c>
      <c r="H80" s="87">
        <f>SUM('Ingresos Reales'!H73)</f>
        <v>18313636</v>
      </c>
      <c r="I80" s="87">
        <f>SUM('Ingresos Reales'!I73)</f>
        <v>18313636</v>
      </c>
      <c r="J80" s="87">
        <f>SUM('Ingresos Reales'!J73)</f>
        <v>18313636</v>
      </c>
      <c r="K80" s="87">
        <f>SUM('Ingresos Reales'!K73)</f>
        <v>18313636</v>
      </c>
      <c r="L80" s="87">
        <f>SUM('Ingresos Reales'!L73)</f>
        <v>18313636</v>
      </c>
      <c r="M80" s="87">
        <f>SUM('Ingresos Reales'!M73)</f>
        <v>18313636</v>
      </c>
      <c r="N80" s="87">
        <f t="shared" ref="N80:N85" si="28">SUM(B80:M80)</f>
        <v>219763632</v>
      </c>
    </row>
    <row r="81" spans="1:15">
      <c r="A81" s="55" t="s">
        <v>484</v>
      </c>
      <c r="B81" s="87">
        <f>SUM('Ingresos Reales'!B74)</f>
        <v>0</v>
      </c>
      <c r="C81" s="87">
        <f>SUM('Ingresos Reales'!C74)</f>
        <v>0</v>
      </c>
      <c r="D81" s="87">
        <f>SUM('Ingresos Reales'!D74)</f>
        <v>0</v>
      </c>
      <c r="E81" s="87">
        <f>SUM('Ingresos Reales'!E74)</f>
        <v>0</v>
      </c>
      <c r="F81" s="87">
        <f>SUM('Ingresos Reales'!F74)</f>
        <v>0</v>
      </c>
      <c r="G81" s="87">
        <f>SUM('Ingresos Reales'!G74)</f>
        <v>0</v>
      </c>
      <c r="H81" s="87">
        <f>SUM('Ingresos Reales'!H74)</f>
        <v>0</v>
      </c>
      <c r="I81" s="87">
        <f>SUM('Ingresos Reales'!I74)</f>
        <v>0</v>
      </c>
      <c r="J81" s="87">
        <f>SUM('Ingresos Reales'!J74)</f>
        <v>0</v>
      </c>
      <c r="K81" s="87">
        <f>SUM('Ingresos Reales'!K74)</f>
        <v>0</v>
      </c>
      <c r="L81" s="87">
        <f>SUM('Ingresos Reales'!L74)</f>
        <v>0</v>
      </c>
      <c r="M81" s="87">
        <f>SUM('Ingresos Reales'!M74)</f>
        <v>0</v>
      </c>
      <c r="N81" s="87">
        <f t="shared" si="28"/>
        <v>0</v>
      </c>
    </row>
    <row r="82" spans="1:15">
      <c r="A82" s="55" t="s">
        <v>485</v>
      </c>
      <c r="B82" s="87">
        <f>SUM('Ingresos Reales'!B75)</f>
        <v>953.93</v>
      </c>
      <c r="C82" s="87">
        <f>SUM('Ingresos Reales'!C75)</f>
        <v>845.15</v>
      </c>
      <c r="D82" s="87">
        <f>SUM('Ingresos Reales'!D75)</f>
        <v>935.76</v>
      </c>
      <c r="E82" s="87">
        <f>SUM('Ingresos Reales'!E75)</f>
        <v>876.6</v>
      </c>
      <c r="F82" s="87">
        <f>SUM('Ingresos Reales'!F75)</f>
        <v>967.56</v>
      </c>
      <c r="G82" s="87">
        <f>SUM('Ingresos Reales'!G75)</f>
        <v>906.79</v>
      </c>
      <c r="H82" s="87">
        <f>SUM('Ingresos Reales'!H75)</f>
        <v>876.78</v>
      </c>
      <c r="I82" s="87">
        <f>SUM('Ingresos Reales'!I75)</f>
        <v>968.41</v>
      </c>
      <c r="J82" s="87">
        <f>SUM('Ingresos Reales'!J75)</f>
        <v>875.7</v>
      </c>
      <c r="K82" s="87">
        <f>SUM('Ingresos Reales'!K75)</f>
        <v>904.53</v>
      </c>
      <c r="L82" s="87">
        <f>SUM('Ingresos Reales'!L75)</f>
        <v>875.45</v>
      </c>
      <c r="M82" s="87">
        <f>SUM('Ingresos Reales'!M75)</f>
        <v>874.7</v>
      </c>
      <c r="N82" s="87">
        <f t="shared" si="28"/>
        <v>10861.360000000002</v>
      </c>
    </row>
    <row r="83" spans="1:15">
      <c r="A83" s="55" t="s">
        <v>486</v>
      </c>
      <c r="B83" s="87">
        <f>SUM('Ingresos Reales'!B76)</f>
        <v>0</v>
      </c>
      <c r="C83" s="87">
        <f>SUM('Ingresos Reales'!C76)</f>
        <v>0</v>
      </c>
      <c r="D83" s="87">
        <f>SUM('Ingresos Reales'!D76)</f>
        <v>0</v>
      </c>
      <c r="E83" s="87">
        <f>SUM('Ingresos Reales'!E76)</f>
        <v>0</v>
      </c>
      <c r="F83" s="87">
        <f>SUM('Ingresos Reales'!F76)</f>
        <v>0</v>
      </c>
      <c r="G83" s="87">
        <f>SUM('Ingresos Reales'!G76)</f>
        <v>0</v>
      </c>
      <c r="H83" s="87">
        <f>SUM('Ingresos Reales'!H76)</f>
        <v>0</v>
      </c>
      <c r="I83" s="87">
        <f>SUM('Ingresos Reales'!I76)</f>
        <v>93.21</v>
      </c>
      <c r="J83" s="87">
        <f>SUM('Ingresos Reales'!J76)</f>
        <v>237.06</v>
      </c>
      <c r="K83" s="87">
        <f>SUM('Ingresos Reales'!K76)</f>
        <v>254.21</v>
      </c>
      <c r="L83" s="87">
        <f>SUM('Ingresos Reales'!L76)</f>
        <v>245.95</v>
      </c>
      <c r="M83" s="87">
        <f>SUM('Ingresos Reales'!M76)</f>
        <v>270.97000000000003</v>
      </c>
      <c r="N83" s="87">
        <f t="shared" si="28"/>
        <v>1101.4000000000001</v>
      </c>
    </row>
    <row r="84" spans="1:15">
      <c r="A84" s="55" t="s">
        <v>583</v>
      </c>
      <c r="B84" s="87">
        <f>SUM('Ingresos Reales'!B77)</f>
        <v>53176.47</v>
      </c>
      <c r="C84" s="87">
        <f>SUM('Ingresos Reales'!C77)</f>
        <v>68113.25</v>
      </c>
      <c r="D84" s="87">
        <f>SUM('Ingresos Reales'!D77)</f>
        <v>43785.89</v>
      </c>
      <c r="E84" s="87">
        <f>SUM('Ingresos Reales'!E77)</f>
        <v>35487.870000000003</v>
      </c>
      <c r="F84" s="87">
        <f>SUM('Ingresos Reales'!F77)</f>
        <v>35650.639999999999</v>
      </c>
      <c r="G84" s="87">
        <f>SUM('Ingresos Reales'!G77)</f>
        <v>8983.68</v>
      </c>
      <c r="H84" s="87">
        <f>SUM('Ingresos Reales'!H77)</f>
        <v>23233.15</v>
      </c>
      <c r="I84" s="87">
        <f>SUM('Ingresos Reales'!I77)</f>
        <v>21983.83</v>
      </c>
      <c r="J84" s="87">
        <f>SUM('Ingresos Reales'!J77)</f>
        <v>15424.1</v>
      </c>
      <c r="K84" s="87">
        <f>SUM('Ingresos Reales'!K77)</f>
        <v>12928.83</v>
      </c>
      <c r="L84" s="87">
        <f>SUM('Ingresos Reales'!L77)</f>
        <v>8237.2800000000007</v>
      </c>
      <c r="M84" s="87">
        <f>SUM('Ingresos Reales'!M77)</f>
        <v>2458.89</v>
      </c>
      <c r="N84" s="87">
        <f t="shared" si="28"/>
        <v>329463.88000000006</v>
      </c>
    </row>
    <row r="85" spans="1:15">
      <c r="A85" s="55" t="s">
        <v>1158</v>
      </c>
      <c r="B85" s="87">
        <f>SUM('Ingresos Reales'!B78)</f>
        <v>0</v>
      </c>
      <c r="C85" s="87">
        <f>SUM('Ingresos Reales'!C78)</f>
        <v>0</v>
      </c>
      <c r="D85" s="87">
        <f>SUM('Ingresos Reales'!D78)</f>
        <v>71379.600000000006</v>
      </c>
      <c r="E85" s="87">
        <f>SUM('Ingresos Reales'!E78)</f>
        <v>57494.9</v>
      </c>
      <c r="F85" s="87">
        <f>SUM('Ingresos Reales'!F78)</f>
        <v>123897.89</v>
      </c>
      <c r="G85" s="87">
        <f>SUM('Ingresos Reales'!G78)</f>
        <v>112363.64</v>
      </c>
      <c r="H85" s="87">
        <f>SUM('Ingresos Reales'!H78)</f>
        <v>133146.84</v>
      </c>
      <c r="I85" s="87">
        <f>SUM('Ingresos Reales'!I78)</f>
        <v>103832.69</v>
      </c>
      <c r="J85" s="87">
        <f>SUM('Ingresos Reales'!J78)</f>
        <v>114837.03</v>
      </c>
      <c r="K85" s="87">
        <f>SUM('Ingresos Reales'!K78)</f>
        <v>86814.93</v>
      </c>
      <c r="L85" s="87">
        <f>SUM('Ingresos Reales'!L78)</f>
        <v>106671</v>
      </c>
      <c r="M85" s="87">
        <f>SUM('Ingresos Reales'!M78)</f>
        <v>99427.94</v>
      </c>
      <c r="N85" s="87">
        <f t="shared" si="28"/>
        <v>1009866.46</v>
      </c>
    </row>
    <row r="86" spans="1:15">
      <c r="A86" s="53" t="s">
        <v>317</v>
      </c>
      <c r="B86" s="394">
        <f>SUM(B80:B85)</f>
        <v>54130.400000000001</v>
      </c>
      <c r="C86" s="394">
        <f t="shared" ref="C86:N86" si="29">SUM(C80:C85)</f>
        <v>36696230.399999999</v>
      </c>
      <c r="D86" s="394">
        <f t="shared" si="29"/>
        <v>18429737.250000004</v>
      </c>
      <c r="E86" s="394">
        <f t="shared" si="29"/>
        <v>18407495.370000001</v>
      </c>
      <c r="F86" s="394">
        <f t="shared" si="29"/>
        <v>18474152.09</v>
      </c>
      <c r="G86" s="394">
        <f t="shared" si="29"/>
        <v>18435890.109999999</v>
      </c>
      <c r="H86" s="394">
        <f t="shared" ref="H86" si="30">SUM(H80:H85)</f>
        <v>18470892.77</v>
      </c>
      <c r="I86" s="394">
        <f t="shared" si="29"/>
        <v>18440514.140000001</v>
      </c>
      <c r="J86" s="394">
        <f t="shared" ref="J86" si="31">SUM(J80:J85)</f>
        <v>18445009.890000001</v>
      </c>
      <c r="K86" s="394">
        <f t="shared" si="29"/>
        <v>18414538.5</v>
      </c>
      <c r="L86" s="394">
        <f t="shared" si="29"/>
        <v>18429665.68</v>
      </c>
      <c r="M86" s="394">
        <f t="shared" si="29"/>
        <v>18416668.5</v>
      </c>
      <c r="N86" s="394">
        <f t="shared" si="29"/>
        <v>221114925.10000002</v>
      </c>
    </row>
    <row r="87" spans="1:15">
      <c r="A87" s="54" t="s">
        <v>318</v>
      </c>
      <c r="B87" s="394"/>
      <c r="C87" s="394"/>
      <c r="D87" s="394"/>
      <c r="E87" s="394"/>
      <c r="F87" s="394"/>
      <c r="G87" s="394"/>
      <c r="H87" s="394"/>
      <c r="I87" s="394"/>
      <c r="J87" s="394"/>
      <c r="K87" s="394"/>
      <c r="L87" s="394"/>
      <c r="M87" s="394"/>
      <c r="N87" s="394"/>
      <c r="O87" s="31"/>
    </row>
    <row r="88" spans="1:15">
      <c r="A88" s="55" t="s">
        <v>266</v>
      </c>
      <c r="B88" s="87">
        <f>SUM('Ingresos Reales'!B79)</f>
        <v>0</v>
      </c>
      <c r="C88" s="87">
        <f>SUM('Ingresos Reales'!C79)</f>
        <v>0</v>
      </c>
      <c r="D88" s="87">
        <f>SUM('Ingresos Reales'!D79)</f>
        <v>0</v>
      </c>
      <c r="E88" s="87">
        <f>SUM('Ingresos Reales'!E79)</f>
        <v>0</v>
      </c>
      <c r="F88" s="87">
        <f>SUM('Ingresos Reales'!F79)</f>
        <v>0</v>
      </c>
      <c r="G88" s="87">
        <f>SUM('Ingresos Reales'!G79)</f>
        <v>0</v>
      </c>
      <c r="H88" s="87">
        <f>SUM('Ingresos Reales'!H79)</f>
        <v>0</v>
      </c>
      <c r="I88" s="87">
        <f>SUM('Ingresos Reales'!I79)</f>
        <v>0</v>
      </c>
      <c r="J88" s="87">
        <f>SUM('Ingresos Reales'!J79)</f>
        <v>0</v>
      </c>
      <c r="K88" s="87">
        <f>SUM('Ingresos Reales'!K79)</f>
        <v>0</v>
      </c>
      <c r="L88" s="87">
        <f>SUM('Ingresos Reales'!L79)</f>
        <v>0</v>
      </c>
      <c r="M88" s="87">
        <f>SUM('Ingresos Reales'!M79)</f>
        <v>0</v>
      </c>
      <c r="N88" s="87">
        <f>SUM(B88:M88)</f>
        <v>0</v>
      </c>
      <c r="O88" s="31"/>
    </row>
    <row r="89" spans="1:15">
      <c r="A89" s="53" t="s">
        <v>319</v>
      </c>
      <c r="B89" s="394">
        <f>SUM(B88)</f>
        <v>0</v>
      </c>
      <c r="C89" s="394">
        <f t="shared" ref="C89:N89" si="32">SUM(C88)</f>
        <v>0</v>
      </c>
      <c r="D89" s="394">
        <f t="shared" si="32"/>
        <v>0</v>
      </c>
      <c r="E89" s="394">
        <f t="shared" si="32"/>
        <v>0</v>
      </c>
      <c r="F89" s="394">
        <f t="shared" si="32"/>
        <v>0</v>
      </c>
      <c r="G89" s="394">
        <f t="shared" si="32"/>
        <v>0</v>
      </c>
      <c r="H89" s="394">
        <f t="shared" ref="H89" si="33">SUM(H88)</f>
        <v>0</v>
      </c>
      <c r="I89" s="394">
        <f t="shared" si="32"/>
        <v>0</v>
      </c>
      <c r="J89" s="394">
        <f t="shared" ref="J89" si="34">SUM(J88)</f>
        <v>0</v>
      </c>
      <c r="K89" s="394">
        <f t="shared" si="32"/>
        <v>0</v>
      </c>
      <c r="L89" s="394">
        <f t="shared" si="32"/>
        <v>0</v>
      </c>
      <c r="M89" s="394">
        <f t="shared" si="32"/>
        <v>0</v>
      </c>
      <c r="N89" s="394">
        <f t="shared" si="32"/>
        <v>0</v>
      </c>
      <c r="O89" s="31"/>
    </row>
    <row r="90" spans="1:15">
      <c r="A90" s="54" t="s">
        <v>169</v>
      </c>
      <c r="B90" s="394"/>
      <c r="C90" s="394"/>
      <c r="D90" s="394"/>
      <c r="E90" s="394"/>
      <c r="F90" s="394"/>
      <c r="G90" s="394"/>
      <c r="H90" s="394"/>
      <c r="I90" s="394"/>
      <c r="J90" s="394"/>
      <c r="K90" s="394"/>
      <c r="L90" s="394"/>
      <c r="M90" s="394"/>
      <c r="N90" s="394"/>
      <c r="O90" s="31"/>
    </row>
    <row r="91" spans="1:15" s="1" customFormat="1">
      <c r="A91" s="55" t="s">
        <v>233</v>
      </c>
      <c r="B91" s="87">
        <f>SUM('Ingresos Reales'!B82)</f>
        <v>0</v>
      </c>
      <c r="C91" s="87">
        <f>SUM('Ingresos Reales'!C82)</f>
        <v>0</v>
      </c>
      <c r="D91" s="87">
        <f>SUM('Ingresos Reales'!D82)</f>
        <v>0</v>
      </c>
      <c r="E91" s="87">
        <f>SUM('Ingresos Reales'!E82)</f>
        <v>0</v>
      </c>
      <c r="F91" s="87">
        <f>SUM('Ingresos Reales'!F82)</f>
        <v>0</v>
      </c>
      <c r="G91" s="87">
        <f>SUM('Ingresos Reales'!G82)</f>
        <v>0</v>
      </c>
      <c r="H91" s="87">
        <f>SUM('Ingresos Reales'!H82)</f>
        <v>0</v>
      </c>
      <c r="I91" s="87">
        <f>SUM('Ingresos Reales'!I82)</f>
        <v>0</v>
      </c>
      <c r="J91" s="87">
        <f>SUM('Ingresos Reales'!J82)</f>
        <v>0</v>
      </c>
      <c r="K91" s="87">
        <f>SUM('Ingresos Reales'!K82)</f>
        <v>0</v>
      </c>
      <c r="L91" s="87">
        <f>SUM('Ingresos Reales'!L82)</f>
        <v>0</v>
      </c>
      <c r="M91" s="87">
        <f>SUM('Ingresos Reales'!M82)</f>
        <v>0</v>
      </c>
      <c r="N91" s="87">
        <f>SUM(B91:M91)</f>
        <v>0</v>
      </c>
      <c r="O91" s="73"/>
    </row>
    <row r="92" spans="1:15">
      <c r="A92" s="55" t="s">
        <v>227</v>
      </c>
      <c r="B92" s="87">
        <f>SUM('Ingresos Reales'!B83)</f>
        <v>0</v>
      </c>
      <c r="C92" s="87">
        <f>SUM('Ingresos Reales'!C83)</f>
        <v>0</v>
      </c>
      <c r="D92" s="87">
        <f>SUM('Ingresos Reales'!D83)</f>
        <v>0</v>
      </c>
      <c r="E92" s="87">
        <f>SUM('Ingresos Reales'!E83)</f>
        <v>0</v>
      </c>
      <c r="F92" s="87">
        <f>SUM('Ingresos Reales'!F83)</f>
        <v>0</v>
      </c>
      <c r="G92" s="87">
        <f>SUM('Ingresos Reales'!G83)</f>
        <v>0</v>
      </c>
      <c r="H92" s="87">
        <f>SUM('Ingresos Reales'!H83)</f>
        <v>0</v>
      </c>
      <c r="I92" s="87">
        <f>SUM('Ingresos Reales'!I83)</f>
        <v>0</v>
      </c>
      <c r="J92" s="87">
        <f>SUM('Ingresos Reales'!J83)</f>
        <v>0</v>
      </c>
      <c r="K92" s="87">
        <f>SUM('Ingresos Reales'!K83)</f>
        <v>0</v>
      </c>
      <c r="L92" s="87">
        <f>SUM('Ingresos Reales'!L83)</f>
        <v>0</v>
      </c>
      <c r="M92" s="87">
        <f>SUM('Ingresos Reales'!M83)</f>
        <v>0</v>
      </c>
      <c r="N92" s="87">
        <f>SUM(B92:M92)</f>
        <v>0</v>
      </c>
      <c r="O92" s="31"/>
    </row>
    <row r="93" spans="1:15">
      <c r="A93" s="55" t="s">
        <v>234</v>
      </c>
      <c r="B93" s="87">
        <f>SUM('Ingresos Reales'!B84)</f>
        <v>0</v>
      </c>
      <c r="C93" s="87">
        <f>SUM('Ingresos Reales'!C84)</f>
        <v>0</v>
      </c>
      <c r="D93" s="87">
        <f>SUM('Ingresos Reales'!D84)</f>
        <v>0</v>
      </c>
      <c r="E93" s="87">
        <f>SUM('Ingresos Reales'!E84)</f>
        <v>0</v>
      </c>
      <c r="F93" s="87">
        <f>SUM('Ingresos Reales'!F84)</f>
        <v>0</v>
      </c>
      <c r="G93" s="87">
        <f>SUM('Ingresos Reales'!G84)</f>
        <v>0</v>
      </c>
      <c r="H93" s="87">
        <f>SUM('Ingresos Reales'!H84)</f>
        <v>0</v>
      </c>
      <c r="I93" s="87">
        <f>SUM('Ingresos Reales'!I84)</f>
        <v>0</v>
      </c>
      <c r="J93" s="87">
        <f>SUM('Ingresos Reales'!J84)</f>
        <v>0</v>
      </c>
      <c r="K93" s="87">
        <f>SUM('Ingresos Reales'!K84)</f>
        <v>0</v>
      </c>
      <c r="L93" s="87">
        <f>SUM('Ingresos Reales'!L84)</f>
        <v>0</v>
      </c>
      <c r="M93" s="87">
        <f>SUM('Ingresos Reales'!M84)</f>
        <v>0</v>
      </c>
      <c r="N93" s="87">
        <f>SUM(B93:M93)</f>
        <v>0</v>
      </c>
      <c r="O93" s="31"/>
    </row>
    <row r="94" spans="1:15">
      <c r="A94" s="55" t="s">
        <v>235</v>
      </c>
      <c r="B94" s="87">
        <f>SUM('Ingresos Reales'!B85)</f>
        <v>0</v>
      </c>
      <c r="C94" s="87">
        <f>SUM('Ingresos Reales'!C85)</f>
        <v>0</v>
      </c>
      <c r="D94" s="87">
        <f>SUM('Ingresos Reales'!D85)</f>
        <v>0</v>
      </c>
      <c r="E94" s="87">
        <f>SUM('Ingresos Reales'!E85)</f>
        <v>0</v>
      </c>
      <c r="F94" s="87">
        <f>SUM('Ingresos Reales'!F85)</f>
        <v>0</v>
      </c>
      <c r="G94" s="87">
        <f>SUM('Ingresos Reales'!G85)</f>
        <v>0</v>
      </c>
      <c r="H94" s="87">
        <f>SUM('Ingresos Reales'!H85)</f>
        <v>0</v>
      </c>
      <c r="I94" s="87">
        <f>SUM('Ingresos Reales'!I85)</f>
        <v>0</v>
      </c>
      <c r="J94" s="87">
        <f>SUM('Ingresos Reales'!J85)</f>
        <v>0</v>
      </c>
      <c r="K94" s="87">
        <f>SUM('Ingresos Reales'!K85)</f>
        <v>0</v>
      </c>
      <c r="L94" s="87">
        <f>SUM('Ingresos Reales'!L85)</f>
        <v>0</v>
      </c>
      <c r="M94" s="87">
        <f>SUM('Ingresos Reales'!M85)</f>
        <v>0</v>
      </c>
      <c r="N94" s="87">
        <f t="shared" ref="N94:N102" si="35">SUM(B94:M94)</f>
        <v>0</v>
      </c>
      <c r="O94" s="31"/>
    </row>
    <row r="95" spans="1:15">
      <c r="A95" s="55" t="s">
        <v>320</v>
      </c>
      <c r="B95" s="87">
        <f>SUM('Ingresos Reales'!B86)</f>
        <v>0</v>
      </c>
      <c r="C95" s="87">
        <f>SUM('Ingresos Reales'!C86)</f>
        <v>0</v>
      </c>
      <c r="D95" s="87">
        <f>SUM('Ingresos Reales'!D86)</f>
        <v>0</v>
      </c>
      <c r="E95" s="87">
        <f>SUM('Ingresos Reales'!E86)</f>
        <v>0</v>
      </c>
      <c r="F95" s="87">
        <f>SUM('Ingresos Reales'!F86)</f>
        <v>0</v>
      </c>
      <c r="G95" s="87">
        <f>SUM('Ingresos Reales'!G86)</f>
        <v>0</v>
      </c>
      <c r="H95" s="87">
        <f>SUM('Ingresos Reales'!H86)</f>
        <v>0</v>
      </c>
      <c r="I95" s="87">
        <f>SUM('Ingresos Reales'!I86)</f>
        <v>0</v>
      </c>
      <c r="J95" s="87">
        <f>SUM('Ingresos Reales'!J86)</f>
        <v>0</v>
      </c>
      <c r="K95" s="87">
        <f>SUM('Ingresos Reales'!K86)</f>
        <v>0</v>
      </c>
      <c r="L95" s="87">
        <f>SUM('Ingresos Reales'!L86)</f>
        <v>0</v>
      </c>
      <c r="M95" s="87">
        <f>SUM('Ingresos Reales'!M86)</f>
        <v>0</v>
      </c>
      <c r="N95" s="87">
        <f t="shared" si="35"/>
        <v>0</v>
      </c>
      <c r="O95" s="31"/>
    </row>
    <row r="96" spans="1:15">
      <c r="A96" s="55" t="s">
        <v>321</v>
      </c>
      <c r="B96" s="87">
        <f>SUM('Ingresos Reales'!B87)</f>
        <v>0</v>
      </c>
      <c r="C96" s="87">
        <f>SUM('Ingresos Reales'!C87)</f>
        <v>0</v>
      </c>
      <c r="D96" s="87">
        <f>SUM('Ingresos Reales'!D87)</f>
        <v>0</v>
      </c>
      <c r="E96" s="87">
        <f>SUM('Ingresos Reales'!E87)</f>
        <v>1376702</v>
      </c>
      <c r="F96" s="87">
        <f>SUM('Ingresos Reales'!F87)</f>
        <v>537465</v>
      </c>
      <c r="G96" s="87">
        <f>SUM('Ingresos Reales'!G87)</f>
        <v>499122</v>
      </c>
      <c r="H96" s="87">
        <f>SUM('Ingresos Reales'!H87)</f>
        <v>472718</v>
      </c>
      <c r="I96" s="87">
        <f>SUM('Ingresos Reales'!I87)</f>
        <v>487760</v>
      </c>
      <c r="J96" s="87">
        <f>SUM('Ingresos Reales'!J87)</f>
        <v>486479</v>
      </c>
      <c r="K96" s="87">
        <f>SUM('Ingresos Reales'!K87)</f>
        <v>471186</v>
      </c>
      <c r="L96" s="87">
        <f>SUM('Ingresos Reales'!L87)</f>
        <v>465884</v>
      </c>
      <c r="M96" s="87">
        <f>SUM('Ingresos Reales'!M87)</f>
        <v>461193</v>
      </c>
      <c r="N96" s="87">
        <f t="shared" si="35"/>
        <v>5258509</v>
      </c>
      <c r="O96" s="31"/>
    </row>
    <row r="97" spans="1:15">
      <c r="A97" s="6" t="s">
        <v>395</v>
      </c>
      <c r="B97" s="87">
        <f>SUM('Ingresos Reales'!B88)</f>
        <v>0</v>
      </c>
      <c r="C97" s="87">
        <f>SUM('Ingresos Reales'!C88)</f>
        <v>0</v>
      </c>
      <c r="D97" s="87">
        <f>SUM('Ingresos Reales'!D88)</f>
        <v>0</v>
      </c>
      <c r="E97" s="87">
        <f>SUM('Ingresos Reales'!E88)</f>
        <v>0</v>
      </c>
      <c r="F97" s="87">
        <f>SUM('Ingresos Reales'!F88)</f>
        <v>0</v>
      </c>
      <c r="G97" s="87">
        <f>SUM('Ingresos Reales'!G88)</f>
        <v>0</v>
      </c>
      <c r="H97" s="87">
        <f>SUM('Ingresos Reales'!H88)</f>
        <v>0</v>
      </c>
      <c r="I97" s="87">
        <f>SUM('Ingresos Reales'!I88)</f>
        <v>0</v>
      </c>
      <c r="J97" s="87">
        <f>SUM('Ingresos Reales'!J88)</f>
        <v>0</v>
      </c>
      <c r="K97" s="87">
        <f>SUM('Ingresos Reales'!K88)</f>
        <v>0</v>
      </c>
      <c r="L97" s="87">
        <f>SUM('Ingresos Reales'!L88)</f>
        <v>0</v>
      </c>
      <c r="M97" s="87">
        <f>SUM('Ingresos Reales'!M88)</f>
        <v>0</v>
      </c>
      <c r="N97" s="87">
        <f t="shared" si="35"/>
        <v>0</v>
      </c>
      <c r="O97" s="31"/>
    </row>
    <row r="98" spans="1:15">
      <c r="A98" s="6" t="s">
        <v>415</v>
      </c>
      <c r="B98" s="87">
        <f>SUM('Ingresos Reales'!B89)</f>
        <v>0</v>
      </c>
      <c r="C98" s="87">
        <f>SUM('Ingresos Reales'!C89)</f>
        <v>0</v>
      </c>
      <c r="D98" s="87">
        <f>SUM('Ingresos Reales'!D89)</f>
        <v>0</v>
      </c>
      <c r="E98" s="87">
        <f>SUM('Ingresos Reales'!E89)</f>
        <v>0</v>
      </c>
      <c r="F98" s="87">
        <f>SUM('Ingresos Reales'!F89)</f>
        <v>0</v>
      </c>
      <c r="G98" s="87">
        <f>SUM('Ingresos Reales'!G89)</f>
        <v>0</v>
      </c>
      <c r="H98" s="87">
        <f>SUM('Ingresos Reales'!H89)</f>
        <v>0</v>
      </c>
      <c r="I98" s="87">
        <f>SUM('Ingresos Reales'!I89)</f>
        <v>0</v>
      </c>
      <c r="J98" s="87">
        <f>SUM('Ingresos Reales'!J89)</f>
        <v>0</v>
      </c>
      <c r="K98" s="87">
        <f>SUM('Ingresos Reales'!K89)</f>
        <v>0</v>
      </c>
      <c r="L98" s="87">
        <f>SUM('Ingresos Reales'!L89)</f>
        <v>0</v>
      </c>
      <c r="M98" s="87">
        <f>SUM('Ingresos Reales'!M89)</f>
        <v>0</v>
      </c>
      <c r="N98" s="87">
        <f t="shared" si="35"/>
        <v>0</v>
      </c>
      <c r="O98" s="31"/>
    </row>
    <row r="99" spans="1:15">
      <c r="A99" s="6" t="s">
        <v>414</v>
      </c>
      <c r="B99" s="87">
        <f>SUM('Ingresos Reales'!B90)</f>
        <v>0</v>
      </c>
      <c r="C99" s="87">
        <f>SUM('Ingresos Reales'!C90)</f>
        <v>0</v>
      </c>
      <c r="D99" s="87">
        <f>SUM('Ingresos Reales'!D90)</f>
        <v>0</v>
      </c>
      <c r="E99" s="87">
        <f>SUM('Ingresos Reales'!E90)</f>
        <v>0</v>
      </c>
      <c r="F99" s="87">
        <f>SUM('Ingresos Reales'!F90)</f>
        <v>0</v>
      </c>
      <c r="G99" s="87">
        <f>SUM('Ingresos Reales'!G90)</f>
        <v>0</v>
      </c>
      <c r="H99" s="87">
        <f>SUM('Ingresos Reales'!H90)</f>
        <v>0</v>
      </c>
      <c r="I99" s="87">
        <f>SUM('Ingresos Reales'!I90)</f>
        <v>0</v>
      </c>
      <c r="J99" s="87">
        <f>SUM('Ingresos Reales'!J90)</f>
        <v>0</v>
      </c>
      <c r="K99" s="87">
        <f>SUM('Ingresos Reales'!K90)</f>
        <v>0</v>
      </c>
      <c r="L99" s="87">
        <f>SUM('Ingresos Reales'!L90)</f>
        <v>0</v>
      </c>
      <c r="M99" s="87">
        <f>SUM('Ingresos Reales'!M90)</f>
        <v>0</v>
      </c>
      <c r="N99" s="87">
        <f t="shared" si="35"/>
        <v>0</v>
      </c>
      <c r="O99" s="31"/>
    </row>
    <row r="100" spans="1:15">
      <c r="A100" s="6" t="s">
        <v>412</v>
      </c>
      <c r="B100" s="87">
        <f>SUM('Ingresos Reales'!B91)</f>
        <v>0</v>
      </c>
      <c r="C100" s="87">
        <f>SUM('Ingresos Reales'!C91)</f>
        <v>0</v>
      </c>
      <c r="D100" s="87">
        <f>SUM('Ingresos Reales'!D91)</f>
        <v>0</v>
      </c>
      <c r="E100" s="87">
        <f>SUM('Ingresos Reales'!E91)</f>
        <v>0</v>
      </c>
      <c r="F100" s="87">
        <f>SUM('Ingresos Reales'!F91)</f>
        <v>0</v>
      </c>
      <c r="G100" s="87">
        <f>SUM('Ingresos Reales'!G91)</f>
        <v>0</v>
      </c>
      <c r="H100" s="87">
        <f>SUM('Ingresos Reales'!H91)</f>
        <v>0</v>
      </c>
      <c r="I100" s="87">
        <f>SUM('Ingresos Reales'!I91)</f>
        <v>0</v>
      </c>
      <c r="J100" s="87">
        <f>SUM('Ingresos Reales'!J91)</f>
        <v>0</v>
      </c>
      <c r="K100" s="87">
        <f>SUM('Ingresos Reales'!K91)</f>
        <v>0</v>
      </c>
      <c r="L100" s="87">
        <f>SUM('Ingresos Reales'!L91)</f>
        <v>0</v>
      </c>
      <c r="M100" s="87">
        <f>SUM('Ingresos Reales'!M91)</f>
        <v>0</v>
      </c>
      <c r="N100" s="87">
        <f t="shared" si="35"/>
        <v>0</v>
      </c>
      <c r="O100" s="31"/>
    </row>
    <row r="101" spans="1:15">
      <c r="A101" s="55" t="s">
        <v>325</v>
      </c>
      <c r="B101" s="87">
        <f>SUM('Ingresos Reales'!B92)</f>
        <v>0</v>
      </c>
      <c r="C101" s="87">
        <f>SUM('Ingresos Reales'!C92)</f>
        <v>287932.84000000003</v>
      </c>
      <c r="D101" s="87">
        <f>SUM('Ingresos Reales'!D92)</f>
        <v>0</v>
      </c>
      <c r="E101" s="87">
        <f>SUM('Ingresos Reales'!E92)</f>
        <v>0</v>
      </c>
      <c r="F101" s="87">
        <f>SUM('Ingresos Reales'!F92)</f>
        <v>0</v>
      </c>
      <c r="G101" s="87">
        <f>SUM('Ingresos Reales'!G92)</f>
        <v>0</v>
      </c>
      <c r="H101" s="87">
        <f>SUM('Ingresos Reales'!H92)</f>
        <v>0</v>
      </c>
      <c r="I101" s="87">
        <f>SUM('Ingresos Reales'!I92)</f>
        <v>0</v>
      </c>
      <c r="J101" s="87">
        <f>SUM('Ingresos Reales'!J92)</f>
        <v>201472.73</v>
      </c>
      <c r="K101" s="87">
        <f>SUM('Ingresos Reales'!K92)</f>
        <v>0</v>
      </c>
      <c r="L101" s="87">
        <f>SUM('Ingresos Reales'!L92)</f>
        <v>0</v>
      </c>
      <c r="M101" s="87">
        <f>SUM('Ingresos Reales'!M92)</f>
        <v>0</v>
      </c>
      <c r="N101" s="87">
        <f t="shared" si="35"/>
        <v>489405.57000000007</v>
      </c>
      <c r="O101" s="31"/>
    </row>
    <row r="102" spans="1:15">
      <c r="A102" s="6" t="s">
        <v>397</v>
      </c>
      <c r="B102" s="87">
        <f>SUM('Ingresos Reales'!B93)</f>
        <v>0</v>
      </c>
      <c r="C102" s="87">
        <f>SUM('Ingresos Reales'!C93)</f>
        <v>0</v>
      </c>
      <c r="D102" s="87">
        <f>SUM('Ingresos Reales'!D93)</f>
        <v>0</v>
      </c>
      <c r="E102" s="87">
        <f>SUM('Ingresos Reales'!E93)</f>
        <v>0</v>
      </c>
      <c r="F102" s="87">
        <f>SUM('Ingresos Reales'!F93)</f>
        <v>0</v>
      </c>
      <c r="G102" s="87">
        <f>SUM('Ingresos Reales'!G93)</f>
        <v>0</v>
      </c>
      <c r="H102" s="87">
        <f>SUM('Ingresos Reales'!H93)</f>
        <v>0</v>
      </c>
      <c r="I102" s="87">
        <f>SUM('Ingresos Reales'!I93)</f>
        <v>0</v>
      </c>
      <c r="J102" s="87">
        <f>SUM('Ingresos Reales'!J93)</f>
        <v>0</v>
      </c>
      <c r="K102" s="87">
        <f>SUM('Ingresos Reales'!K93)</f>
        <v>0</v>
      </c>
      <c r="L102" s="87">
        <f>SUM('Ingresos Reales'!L93)</f>
        <v>0</v>
      </c>
      <c r="M102" s="87">
        <f>SUM('Ingresos Reales'!M93)</f>
        <v>0</v>
      </c>
      <c r="N102" s="87">
        <f t="shared" si="35"/>
        <v>0</v>
      </c>
      <c r="O102" s="31"/>
    </row>
    <row r="103" spans="1:15">
      <c r="A103" s="6" t="s">
        <v>438</v>
      </c>
      <c r="B103" s="87">
        <f>SUM('Ingresos Reales'!B94)</f>
        <v>0</v>
      </c>
      <c r="C103" s="87">
        <f>SUM('Ingresos Reales'!C94)</f>
        <v>0</v>
      </c>
      <c r="D103" s="87">
        <f>SUM('Ingresos Reales'!D94)</f>
        <v>0</v>
      </c>
      <c r="E103" s="87">
        <f>SUM('Ingresos Reales'!E94)</f>
        <v>0</v>
      </c>
      <c r="F103" s="87">
        <f>SUM('Ingresos Reales'!F94)</f>
        <v>0</v>
      </c>
      <c r="G103" s="87">
        <f>SUM('Ingresos Reales'!G94)</f>
        <v>0</v>
      </c>
      <c r="H103" s="87">
        <f>SUM('Ingresos Reales'!H94)</f>
        <v>0</v>
      </c>
      <c r="I103" s="87">
        <f>SUM('Ingresos Reales'!I94)</f>
        <v>0</v>
      </c>
      <c r="J103" s="87">
        <f>SUM('Ingresos Reales'!J94)</f>
        <v>0</v>
      </c>
      <c r="K103" s="87">
        <f>SUM('Ingresos Reales'!K94)</f>
        <v>0</v>
      </c>
      <c r="L103" s="87">
        <f>SUM('Ingresos Reales'!L94)</f>
        <v>0</v>
      </c>
      <c r="M103" s="87">
        <f>SUM('Ingresos Reales'!M94)</f>
        <v>0</v>
      </c>
      <c r="N103" s="87">
        <f t="shared" ref="N103:N120" si="36">SUM(B103:M103)</f>
        <v>0</v>
      </c>
      <c r="O103" s="31"/>
    </row>
    <row r="104" spans="1:15">
      <c r="A104" s="6" t="s">
        <v>451</v>
      </c>
      <c r="B104" s="87">
        <f>SUM('Ingresos Reales'!B95)</f>
        <v>0</v>
      </c>
      <c r="C104" s="87">
        <f>SUM('Ingresos Reales'!C95)</f>
        <v>0</v>
      </c>
      <c r="D104" s="87">
        <f>SUM('Ingresos Reales'!D95)</f>
        <v>0</v>
      </c>
      <c r="E104" s="87">
        <f>SUM('Ingresos Reales'!E95)</f>
        <v>0</v>
      </c>
      <c r="F104" s="87">
        <f>SUM('Ingresos Reales'!F95)</f>
        <v>0</v>
      </c>
      <c r="G104" s="87">
        <f>SUM('Ingresos Reales'!G95)</f>
        <v>0</v>
      </c>
      <c r="H104" s="87">
        <f>SUM('Ingresos Reales'!H95)</f>
        <v>0</v>
      </c>
      <c r="I104" s="87">
        <f>SUM('Ingresos Reales'!I95)</f>
        <v>0</v>
      </c>
      <c r="J104" s="87">
        <f>SUM('Ingresos Reales'!J95)</f>
        <v>0</v>
      </c>
      <c r="K104" s="87">
        <f>SUM('Ingresos Reales'!K95)</f>
        <v>0</v>
      </c>
      <c r="L104" s="87">
        <f>SUM('Ingresos Reales'!L95)</f>
        <v>0</v>
      </c>
      <c r="M104" s="87">
        <f>SUM('Ingresos Reales'!M95)</f>
        <v>0</v>
      </c>
      <c r="N104" s="87">
        <f t="shared" si="36"/>
        <v>0</v>
      </c>
      <c r="O104" s="31"/>
    </row>
    <row r="105" spans="1:15">
      <c r="A105" s="6" t="s">
        <v>452</v>
      </c>
      <c r="B105" s="87">
        <f>SUM('Ingresos Reales'!B96)</f>
        <v>63750</v>
      </c>
      <c r="C105" s="87">
        <f>SUM('Ingresos Reales'!C96)</f>
        <v>0</v>
      </c>
      <c r="D105" s="87">
        <f>SUM('Ingresos Reales'!D96)</f>
        <v>0</v>
      </c>
      <c r="E105" s="87">
        <f>SUM('Ingresos Reales'!E96)</f>
        <v>4000000</v>
      </c>
      <c r="F105" s="87">
        <f>SUM('Ingresos Reales'!F96)</f>
        <v>1200000</v>
      </c>
      <c r="G105" s="87">
        <f>SUM('Ingresos Reales'!G96)</f>
        <v>0</v>
      </c>
      <c r="H105" s="87">
        <f>SUM('Ingresos Reales'!H96)</f>
        <v>0</v>
      </c>
      <c r="I105" s="87">
        <f>SUM('Ingresos Reales'!I96)</f>
        <v>3000000</v>
      </c>
      <c r="J105" s="87">
        <f>SUM('Ingresos Reales'!J96)</f>
        <v>0</v>
      </c>
      <c r="K105" s="87">
        <f>SUM('Ingresos Reales'!K96)</f>
        <v>0</v>
      </c>
      <c r="L105" s="87">
        <f>SUM('Ingresos Reales'!L96)</f>
        <v>3900000</v>
      </c>
      <c r="M105" s="87">
        <f>SUM('Ingresos Reales'!M96)</f>
        <v>0</v>
      </c>
      <c r="N105" s="87">
        <f t="shared" si="36"/>
        <v>12163750</v>
      </c>
      <c r="O105" s="31"/>
    </row>
    <row r="106" spans="1:15">
      <c r="A106" s="6" t="s">
        <v>547</v>
      </c>
      <c r="B106" s="87">
        <f>SUM('Ingresos Reales'!B97)</f>
        <v>0</v>
      </c>
      <c r="C106" s="87">
        <f>SUM('Ingresos Reales'!C97)</f>
        <v>0</v>
      </c>
      <c r="D106" s="87">
        <f>SUM('Ingresos Reales'!D97)</f>
        <v>0</v>
      </c>
      <c r="E106" s="87">
        <f>SUM('Ingresos Reales'!E97)</f>
        <v>0</v>
      </c>
      <c r="F106" s="87">
        <f>SUM('Ingresos Reales'!F97)</f>
        <v>0</v>
      </c>
      <c r="G106" s="87">
        <f>SUM('Ingresos Reales'!G97)</f>
        <v>0</v>
      </c>
      <c r="H106" s="87">
        <f>SUM('Ingresos Reales'!H97)</f>
        <v>0</v>
      </c>
      <c r="I106" s="87">
        <f>SUM('Ingresos Reales'!I97)</f>
        <v>0</v>
      </c>
      <c r="J106" s="87">
        <f>SUM('Ingresos Reales'!J97)</f>
        <v>900000</v>
      </c>
      <c r="K106" s="87">
        <f>SUM('Ingresos Reales'!K97)</f>
        <v>0</v>
      </c>
      <c r="L106" s="87">
        <f>SUM('Ingresos Reales'!L97)</f>
        <v>0</v>
      </c>
      <c r="M106" s="87">
        <f>SUM('Ingresos Reales'!M97)</f>
        <v>0</v>
      </c>
      <c r="N106" s="87">
        <f>SUM(B106:M106)</f>
        <v>900000</v>
      </c>
      <c r="O106" s="31"/>
    </row>
    <row r="107" spans="1:15">
      <c r="A107" s="6" t="s">
        <v>453</v>
      </c>
      <c r="B107" s="87">
        <f>SUM('Ingresos Reales'!B98)</f>
        <v>0</v>
      </c>
      <c r="C107" s="87">
        <f>SUM('Ingresos Reales'!C98)</f>
        <v>0</v>
      </c>
      <c r="D107" s="87">
        <f>SUM('Ingresos Reales'!D98)</f>
        <v>0</v>
      </c>
      <c r="E107" s="87">
        <f>SUM('Ingresos Reales'!E98)</f>
        <v>0</v>
      </c>
      <c r="F107" s="87">
        <f>SUM('Ingresos Reales'!F98)</f>
        <v>0</v>
      </c>
      <c r="G107" s="87">
        <f>SUM('Ingresos Reales'!G98)</f>
        <v>0</v>
      </c>
      <c r="H107" s="87">
        <f>SUM('Ingresos Reales'!H98)</f>
        <v>0</v>
      </c>
      <c r="I107" s="87">
        <f>SUM('Ingresos Reales'!I98)</f>
        <v>0</v>
      </c>
      <c r="J107" s="87">
        <f>SUM('Ingresos Reales'!J98)</f>
        <v>0</v>
      </c>
      <c r="K107" s="87">
        <f>SUM('Ingresos Reales'!K98)</f>
        <v>0</v>
      </c>
      <c r="L107" s="87">
        <f>SUM('Ingresos Reales'!L98)</f>
        <v>0</v>
      </c>
      <c r="M107" s="87">
        <f>SUM('Ingresos Reales'!M98)</f>
        <v>0</v>
      </c>
      <c r="N107" s="87">
        <f t="shared" si="36"/>
        <v>0</v>
      </c>
      <c r="O107" s="31"/>
    </row>
    <row r="108" spans="1:15">
      <c r="A108" s="6" t="s">
        <v>459</v>
      </c>
      <c r="B108" s="87">
        <f>SUM('Ingresos Reales'!B99)</f>
        <v>0</v>
      </c>
      <c r="C108" s="87">
        <f>SUM('Ingresos Reales'!C99)</f>
        <v>0</v>
      </c>
      <c r="D108" s="87">
        <f>SUM('Ingresos Reales'!D99)</f>
        <v>0</v>
      </c>
      <c r="E108" s="87">
        <f>SUM('Ingresos Reales'!E99)</f>
        <v>0</v>
      </c>
      <c r="F108" s="87">
        <f>SUM('Ingresos Reales'!F99)</f>
        <v>0</v>
      </c>
      <c r="G108" s="87">
        <f>SUM('Ingresos Reales'!G99)</f>
        <v>0</v>
      </c>
      <c r="H108" s="87">
        <f>SUM('Ingresos Reales'!H99)</f>
        <v>0</v>
      </c>
      <c r="I108" s="87">
        <f>SUM('Ingresos Reales'!I99)</f>
        <v>0</v>
      </c>
      <c r="J108" s="87">
        <f>SUM('Ingresos Reales'!J99)</f>
        <v>0</v>
      </c>
      <c r="K108" s="87">
        <f>SUM('Ingresos Reales'!K99)</f>
        <v>0</v>
      </c>
      <c r="L108" s="87">
        <f>SUM('Ingresos Reales'!L99)</f>
        <v>0</v>
      </c>
      <c r="M108" s="87">
        <f>SUM('Ingresos Reales'!M99)</f>
        <v>0</v>
      </c>
      <c r="N108" s="87">
        <f t="shared" si="36"/>
        <v>0</v>
      </c>
      <c r="O108" s="31"/>
    </row>
    <row r="109" spans="1:15">
      <c r="A109" s="6" t="s">
        <v>50</v>
      </c>
      <c r="B109" s="87">
        <f>SUM('Ingresos Reales'!B100)</f>
        <v>0</v>
      </c>
      <c r="C109" s="87">
        <f>SUM('Ingresos Reales'!C100)</f>
        <v>0</v>
      </c>
      <c r="D109" s="87">
        <f>SUM('Ingresos Reales'!D100)</f>
        <v>0</v>
      </c>
      <c r="E109" s="87">
        <f>SUM('Ingresos Reales'!E100)</f>
        <v>0</v>
      </c>
      <c r="F109" s="87">
        <f>SUM('Ingresos Reales'!F100)</f>
        <v>0</v>
      </c>
      <c r="G109" s="87">
        <f>SUM('Ingresos Reales'!G100)</f>
        <v>1092527.46</v>
      </c>
      <c r="H109" s="87">
        <f>SUM('Ingresos Reales'!H100)</f>
        <v>29486</v>
      </c>
      <c r="I109" s="87">
        <f>SUM('Ingresos Reales'!I100)</f>
        <v>439775.8</v>
      </c>
      <c r="J109" s="87">
        <f>SUM('Ingresos Reales'!J100)</f>
        <v>365726.5</v>
      </c>
      <c r="K109" s="87">
        <f>SUM('Ingresos Reales'!K100)</f>
        <v>486558.1</v>
      </c>
      <c r="L109" s="87">
        <f>SUM('Ingresos Reales'!L100)</f>
        <v>3000000</v>
      </c>
      <c r="M109" s="87">
        <f>SUM('Ingresos Reales'!M100)</f>
        <v>540</v>
      </c>
      <c r="N109" s="87">
        <f t="shared" si="36"/>
        <v>5414613.8599999994</v>
      </c>
      <c r="O109" s="31"/>
    </row>
    <row r="110" spans="1:15">
      <c r="A110" s="6" t="s">
        <v>474</v>
      </c>
      <c r="B110" s="87">
        <f>SUM('Ingresos Reales'!B101)</f>
        <v>0</v>
      </c>
      <c r="C110" s="87">
        <f>SUM('Ingresos Reales'!C101)</f>
        <v>0</v>
      </c>
      <c r="D110" s="87">
        <f>SUM('Ingresos Reales'!D101)</f>
        <v>0</v>
      </c>
      <c r="E110" s="87">
        <f>SUM('Ingresos Reales'!E101)</f>
        <v>0</v>
      </c>
      <c r="F110" s="87">
        <f>SUM('Ingresos Reales'!F101)</f>
        <v>0</v>
      </c>
      <c r="G110" s="87">
        <f>SUM('Ingresos Reales'!G101)</f>
        <v>0</v>
      </c>
      <c r="H110" s="87">
        <f>SUM('Ingresos Reales'!H101)</f>
        <v>0</v>
      </c>
      <c r="I110" s="87">
        <f>SUM('Ingresos Reales'!I101)</f>
        <v>13500000</v>
      </c>
      <c r="J110" s="87">
        <f>SUM('Ingresos Reales'!J101)</f>
        <v>0</v>
      </c>
      <c r="K110" s="87">
        <f>SUM('Ingresos Reales'!K101)</f>
        <v>0</v>
      </c>
      <c r="L110" s="87">
        <f>SUM('Ingresos Reales'!L101)</f>
        <v>0</v>
      </c>
      <c r="M110" s="87">
        <f>SUM('Ingresos Reales'!M101)</f>
        <v>0</v>
      </c>
      <c r="N110" s="87">
        <f t="shared" si="36"/>
        <v>13500000</v>
      </c>
      <c r="O110" s="31"/>
    </row>
    <row r="111" spans="1:15">
      <c r="A111" s="6" t="s">
        <v>532</v>
      </c>
      <c r="B111" s="87">
        <f>SUM('Ingresos Reales'!B102)</f>
        <v>0</v>
      </c>
      <c r="C111" s="87">
        <f>SUM('Ingresos Reales'!C102)</f>
        <v>0</v>
      </c>
      <c r="D111" s="87">
        <f>SUM('Ingresos Reales'!D102)</f>
        <v>0</v>
      </c>
      <c r="E111" s="87">
        <f>SUM('Ingresos Reales'!E102)</f>
        <v>0</v>
      </c>
      <c r="F111" s="87">
        <f>SUM('Ingresos Reales'!F102)</f>
        <v>0</v>
      </c>
      <c r="G111" s="87">
        <f>SUM('Ingresos Reales'!G102)</f>
        <v>0</v>
      </c>
      <c r="H111" s="87">
        <f>SUM('Ingresos Reales'!H102)</f>
        <v>0</v>
      </c>
      <c r="I111" s="87">
        <f>SUM('Ingresos Reales'!I102)</f>
        <v>0</v>
      </c>
      <c r="J111" s="87">
        <f>SUM('Ingresos Reales'!J102)</f>
        <v>0</v>
      </c>
      <c r="K111" s="87">
        <f>SUM('Ingresos Reales'!K102)</f>
        <v>0</v>
      </c>
      <c r="L111" s="87">
        <f>SUM('Ingresos Reales'!L102)</f>
        <v>0</v>
      </c>
      <c r="M111" s="87">
        <f>SUM('Ingresos Reales'!M102)</f>
        <v>0</v>
      </c>
      <c r="N111" s="87">
        <f t="shared" si="36"/>
        <v>0</v>
      </c>
      <c r="O111" s="31"/>
    </row>
    <row r="112" spans="1:15">
      <c r="A112" s="6" t="s">
        <v>549</v>
      </c>
      <c r="B112" s="87">
        <f>SUM('Ingresos Reales'!B103)</f>
        <v>0</v>
      </c>
      <c r="C112" s="87">
        <f>SUM('Ingresos Reales'!C103)</f>
        <v>0</v>
      </c>
      <c r="D112" s="87">
        <f>SUM('Ingresos Reales'!D103)</f>
        <v>0</v>
      </c>
      <c r="E112" s="87">
        <f>SUM('Ingresos Reales'!E103)</f>
        <v>0</v>
      </c>
      <c r="F112" s="87">
        <f>SUM('Ingresos Reales'!F103)</f>
        <v>0</v>
      </c>
      <c r="G112" s="87">
        <f>SUM('Ingresos Reales'!G103)</f>
        <v>0</v>
      </c>
      <c r="H112" s="87">
        <f>SUM('Ingresos Reales'!H103)</f>
        <v>0</v>
      </c>
      <c r="I112" s="87">
        <f>SUM('Ingresos Reales'!I103)</f>
        <v>0</v>
      </c>
      <c r="J112" s="87">
        <f>SUM('Ingresos Reales'!J103)</f>
        <v>0</v>
      </c>
      <c r="K112" s="87">
        <f>SUM('Ingresos Reales'!K103)</f>
        <v>0</v>
      </c>
      <c r="L112" s="87">
        <f>SUM('Ingresos Reales'!L103)</f>
        <v>0</v>
      </c>
      <c r="M112" s="87">
        <f>SUM('Ingresos Reales'!M103)</f>
        <v>0</v>
      </c>
      <c r="N112" s="87">
        <f t="shared" si="36"/>
        <v>0</v>
      </c>
      <c r="O112" s="31"/>
    </row>
    <row r="113" spans="1:15">
      <c r="A113" s="6" t="s">
        <v>1171</v>
      </c>
      <c r="B113" s="87">
        <f>SUM('Ingresos Reales'!B104)</f>
        <v>0</v>
      </c>
      <c r="C113" s="87">
        <f>SUM('Ingresos Reales'!C104)</f>
        <v>0</v>
      </c>
      <c r="D113" s="87">
        <f>SUM('Ingresos Reales'!D104)</f>
        <v>0</v>
      </c>
      <c r="E113" s="87">
        <f>SUM('Ingresos Reales'!E104)</f>
        <v>0</v>
      </c>
      <c r="F113" s="87">
        <f>SUM('Ingresos Reales'!F104)</f>
        <v>0</v>
      </c>
      <c r="G113" s="87">
        <f>SUM('Ingresos Reales'!G104)</f>
        <v>0</v>
      </c>
      <c r="H113" s="87">
        <f>SUM('Ingresos Reales'!H104)</f>
        <v>0</v>
      </c>
      <c r="I113" s="87">
        <f>SUM('Ingresos Reales'!I104)</f>
        <v>20628635.469999999</v>
      </c>
      <c r="J113" s="87">
        <f>SUM('Ingresos Reales'!J104)</f>
        <v>0</v>
      </c>
      <c r="K113" s="87">
        <f>SUM('Ingresos Reales'!K104)</f>
        <v>7648362.46</v>
      </c>
      <c r="L113" s="87">
        <f>SUM('Ingresos Reales'!L104)</f>
        <v>8891750.1999999993</v>
      </c>
      <c r="M113" s="87">
        <f>SUM('Ingresos Reales'!M104)</f>
        <v>14500149.09</v>
      </c>
      <c r="N113" s="87">
        <f t="shared" si="36"/>
        <v>51668897.219999999</v>
      </c>
      <c r="O113" s="31"/>
    </row>
    <row r="114" spans="1:15">
      <c r="A114" s="6" t="s">
        <v>535</v>
      </c>
      <c r="B114" s="87">
        <f>SUM('Ingresos Reales'!B105)</f>
        <v>201918</v>
      </c>
      <c r="C114" s="87">
        <f>SUM('Ingresos Reales'!C105)</f>
        <v>0</v>
      </c>
      <c r="D114" s="87">
        <f>SUM('Ingresos Reales'!D105)</f>
        <v>0</v>
      </c>
      <c r="E114" s="87">
        <f>SUM('Ingresos Reales'!E105)</f>
        <v>0</v>
      </c>
      <c r="F114" s="87">
        <f>SUM('Ingresos Reales'!F105)</f>
        <v>12852</v>
      </c>
      <c r="G114" s="87">
        <f>SUM('Ingresos Reales'!G105)</f>
        <v>0</v>
      </c>
      <c r="H114" s="87">
        <f>SUM('Ingresos Reales'!H105)</f>
        <v>0</v>
      </c>
      <c r="I114" s="87">
        <f>SUM('Ingresos Reales'!I105)</f>
        <v>0</v>
      </c>
      <c r="J114" s="87">
        <f>SUM('Ingresos Reales'!J105)</f>
        <v>0</v>
      </c>
      <c r="K114" s="87">
        <f>SUM('Ingresos Reales'!K105)</f>
        <v>0</v>
      </c>
      <c r="L114" s="87">
        <f>SUM('Ingresos Reales'!L105)</f>
        <v>0</v>
      </c>
      <c r="M114" s="87">
        <f>SUM('Ingresos Reales'!M105)</f>
        <v>0</v>
      </c>
      <c r="N114" s="87">
        <f t="shared" si="36"/>
        <v>214770</v>
      </c>
      <c r="O114" s="31"/>
    </row>
    <row r="115" spans="1:15">
      <c r="A115" s="6" t="s">
        <v>604</v>
      </c>
      <c r="B115" s="87">
        <f>SUM('Ingresos Reales'!B106)</f>
        <v>0</v>
      </c>
      <c r="C115" s="87">
        <f>SUM('Ingresos Reales'!C106)</f>
        <v>0</v>
      </c>
      <c r="D115" s="87">
        <f>SUM('Ingresos Reales'!D106)</f>
        <v>0</v>
      </c>
      <c r="E115" s="87">
        <f>SUM('Ingresos Reales'!E106)</f>
        <v>0</v>
      </c>
      <c r="F115" s="87">
        <f>SUM('Ingresos Reales'!F106)</f>
        <v>0</v>
      </c>
      <c r="G115" s="87">
        <f>SUM('Ingresos Reales'!G106)</f>
        <v>22650</v>
      </c>
      <c r="H115" s="87">
        <f>SUM('Ingresos Reales'!H106)</f>
        <v>0</v>
      </c>
      <c r="I115" s="87">
        <f>SUM('Ingresos Reales'!I106)</f>
        <v>22650</v>
      </c>
      <c r="J115" s="87">
        <f>SUM('Ingresos Reales'!J106)</f>
        <v>698658</v>
      </c>
      <c r="K115" s="87">
        <f>SUM('Ingresos Reales'!K106)</f>
        <v>996539</v>
      </c>
      <c r="L115" s="87">
        <f>SUM('Ingresos Reales'!L106)</f>
        <v>551661</v>
      </c>
      <c r="M115" s="87">
        <f>SUM('Ingresos Reales'!M106)</f>
        <v>248649.32</v>
      </c>
      <c r="N115" s="87">
        <f t="shared" si="36"/>
        <v>2540807.3199999998</v>
      </c>
      <c r="O115" s="31"/>
    </row>
    <row r="116" spans="1:15">
      <c r="A116" s="6" t="s">
        <v>601</v>
      </c>
      <c r="B116" s="87">
        <f>SUM('Ingresos Reales'!B107)</f>
        <v>0</v>
      </c>
      <c r="C116" s="87">
        <f>SUM('Ingresos Reales'!C107)</f>
        <v>0</v>
      </c>
      <c r="D116" s="87">
        <f>SUM('Ingresos Reales'!D107)</f>
        <v>0</v>
      </c>
      <c r="E116" s="87">
        <f>SUM('Ingresos Reales'!E107)</f>
        <v>0</v>
      </c>
      <c r="F116" s="87">
        <f>SUM('Ingresos Reales'!F107)</f>
        <v>0</v>
      </c>
      <c r="G116" s="87">
        <f>SUM('Ingresos Reales'!G107)</f>
        <v>0</v>
      </c>
      <c r="H116" s="87">
        <f>SUM('Ingresos Reales'!H107)</f>
        <v>0</v>
      </c>
      <c r="I116" s="87">
        <f>SUM('Ingresos Reales'!I107)</f>
        <v>0</v>
      </c>
      <c r="J116" s="87">
        <f>SUM('Ingresos Reales'!J107)</f>
        <v>0</v>
      </c>
      <c r="K116" s="87">
        <f>SUM('Ingresos Reales'!K107)</f>
        <v>0</v>
      </c>
      <c r="L116" s="87">
        <f>SUM('Ingresos Reales'!L107)</f>
        <v>0</v>
      </c>
      <c r="M116" s="87">
        <f>SUM('Ingresos Reales'!M107)</f>
        <v>0</v>
      </c>
      <c r="N116" s="87">
        <f t="shared" si="36"/>
        <v>0</v>
      </c>
      <c r="O116" s="31"/>
    </row>
    <row r="117" spans="1:15">
      <c r="A117" s="6" t="s">
        <v>602</v>
      </c>
      <c r="B117" s="87">
        <f>SUM('Ingresos Reales'!B108)</f>
        <v>0</v>
      </c>
      <c r="C117" s="87">
        <f>SUM('Ingresos Reales'!C108)</f>
        <v>300000</v>
      </c>
      <c r="D117" s="87">
        <f>SUM('Ingresos Reales'!D108)</f>
        <v>0</v>
      </c>
      <c r="E117" s="87">
        <f>SUM('Ingresos Reales'!E108)</f>
        <v>0</v>
      </c>
      <c r="F117" s="87">
        <f>SUM('Ingresos Reales'!F108)</f>
        <v>0</v>
      </c>
      <c r="G117" s="87">
        <f>SUM('Ingresos Reales'!G108)</f>
        <v>0</v>
      </c>
      <c r="H117" s="87">
        <f>SUM('Ingresos Reales'!H108)</f>
        <v>0</v>
      </c>
      <c r="I117" s="87">
        <f>SUM('Ingresos Reales'!I108)</f>
        <v>0</v>
      </c>
      <c r="J117" s="87">
        <f>SUM('Ingresos Reales'!J108)</f>
        <v>0</v>
      </c>
      <c r="K117" s="87">
        <f>SUM('Ingresos Reales'!K108)</f>
        <v>0</v>
      </c>
      <c r="L117" s="87">
        <f>SUM('Ingresos Reales'!L108)</f>
        <v>0</v>
      </c>
      <c r="M117" s="87">
        <f>SUM('Ingresos Reales'!M108)</f>
        <v>0</v>
      </c>
      <c r="N117" s="87">
        <f t="shared" si="36"/>
        <v>300000</v>
      </c>
      <c r="O117" s="31"/>
    </row>
    <row r="118" spans="1:15">
      <c r="A118" s="6" t="s">
        <v>1174</v>
      </c>
      <c r="B118" s="87">
        <f>SUM('Ingresos Reales'!B109)</f>
        <v>0</v>
      </c>
      <c r="C118" s="87">
        <f>SUM('Ingresos Reales'!C109)</f>
        <v>0</v>
      </c>
      <c r="D118" s="87">
        <f>SUM('Ingresos Reales'!D109)</f>
        <v>0</v>
      </c>
      <c r="E118" s="87">
        <f>SUM('Ingresos Reales'!E109)</f>
        <v>0</v>
      </c>
      <c r="F118" s="87">
        <f>SUM('Ingresos Reales'!F109)</f>
        <v>0</v>
      </c>
      <c r="G118" s="87">
        <f>SUM('Ingresos Reales'!G109)</f>
        <v>0</v>
      </c>
      <c r="H118" s="87">
        <f>SUM('Ingresos Reales'!H109)</f>
        <v>0</v>
      </c>
      <c r="I118" s="87">
        <f>SUM('Ingresos Reales'!I109)</f>
        <v>0</v>
      </c>
      <c r="J118" s="87">
        <f>SUM('Ingresos Reales'!J109)</f>
        <v>0</v>
      </c>
      <c r="K118" s="87">
        <f>SUM('Ingresos Reales'!K109)</f>
        <v>300000</v>
      </c>
      <c r="L118" s="87">
        <f>SUM('Ingresos Reales'!L109)</f>
        <v>0</v>
      </c>
      <c r="M118" s="87">
        <f>SUM('Ingresos Reales'!M109)</f>
        <v>0</v>
      </c>
      <c r="N118" s="87">
        <f t="shared" si="36"/>
        <v>300000</v>
      </c>
      <c r="O118" s="31"/>
    </row>
    <row r="119" spans="1:15">
      <c r="A119" s="6" t="s">
        <v>613</v>
      </c>
      <c r="B119" s="87">
        <f>SUM('Ingresos Reales'!B110)</f>
        <v>0</v>
      </c>
      <c r="C119" s="87">
        <f>SUM('Ingresos Reales'!C110)</f>
        <v>0</v>
      </c>
      <c r="D119" s="87">
        <f>SUM('Ingresos Reales'!D110)</f>
        <v>0</v>
      </c>
      <c r="E119" s="87">
        <f>SUM('Ingresos Reales'!E110)</f>
        <v>0</v>
      </c>
      <c r="F119" s="87">
        <f>SUM('Ingresos Reales'!F110)</f>
        <v>0</v>
      </c>
      <c r="G119" s="87">
        <f>SUM('Ingresos Reales'!G110)</f>
        <v>0</v>
      </c>
      <c r="H119" s="87">
        <f>SUM('Ingresos Reales'!H110)</f>
        <v>6800000</v>
      </c>
      <c r="I119" s="87">
        <f>SUM('Ingresos Reales'!I110)</f>
        <v>8200000</v>
      </c>
      <c r="J119" s="87">
        <f>SUM('Ingresos Reales'!J110)</f>
        <v>0</v>
      </c>
      <c r="K119" s="87">
        <f>SUM('Ingresos Reales'!K110)</f>
        <v>5000000</v>
      </c>
      <c r="L119" s="87">
        <f>SUM('Ingresos Reales'!L110)</f>
        <v>0</v>
      </c>
      <c r="M119" s="87">
        <f>SUM('Ingresos Reales'!M110)</f>
        <v>0</v>
      </c>
      <c r="N119" s="87">
        <f t="shared" si="36"/>
        <v>20000000</v>
      </c>
      <c r="O119" s="31"/>
    </row>
    <row r="120" spans="1:15">
      <c r="A120" s="6" t="s">
        <v>610</v>
      </c>
      <c r="B120" s="87">
        <f>SUM('Ingresos Reales'!B111)</f>
        <v>0</v>
      </c>
      <c r="C120" s="87">
        <f>SUM('Ingresos Reales'!C111)</f>
        <v>0</v>
      </c>
      <c r="D120" s="87">
        <f>SUM('Ingresos Reales'!D111)</f>
        <v>0</v>
      </c>
      <c r="E120" s="87">
        <f>SUM('Ingresos Reales'!E111)</f>
        <v>2400000</v>
      </c>
      <c r="F120" s="87">
        <f>SUM('Ingresos Reales'!F111)</f>
        <v>0</v>
      </c>
      <c r="G120" s="87">
        <f>SUM('Ingresos Reales'!G111)</f>
        <v>0</v>
      </c>
      <c r="H120" s="87">
        <f>SUM('Ingresos Reales'!H111)</f>
        <v>1600000</v>
      </c>
      <c r="I120" s="87">
        <f>SUM('Ingresos Reales'!I111)</f>
        <v>800000</v>
      </c>
      <c r="J120" s="87">
        <f>SUM('Ingresos Reales'!J111)</f>
        <v>800000</v>
      </c>
      <c r="K120" s="87">
        <f>SUM('Ingresos Reales'!K111)</f>
        <v>800000</v>
      </c>
      <c r="L120" s="87">
        <f>SUM('Ingresos Reales'!L111)</f>
        <v>800000</v>
      </c>
      <c r="M120" s="87">
        <f>SUM('Ingresos Reales'!M111)</f>
        <v>800000</v>
      </c>
      <c r="N120" s="87">
        <f t="shared" si="36"/>
        <v>8000000</v>
      </c>
      <c r="O120" s="31"/>
    </row>
    <row r="121" spans="1:15">
      <c r="A121" s="53" t="s">
        <v>226</v>
      </c>
      <c r="B121" s="394">
        <f>SUM(B91:B120)</f>
        <v>265668</v>
      </c>
      <c r="C121" s="394">
        <f t="shared" ref="C121:N121" si="37">SUM(C91:C120)</f>
        <v>587932.84000000008</v>
      </c>
      <c r="D121" s="394">
        <f t="shared" si="37"/>
        <v>0</v>
      </c>
      <c r="E121" s="394">
        <f t="shared" si="37"/>
        <v>7776702</v>
      </c>
      <c r="F121" s="394">
        <f t="shared" si="37"/>
        <v>1750317</v>
      </c>
      <c r="G121" s="394">
        <f t="shared" si="37"/>
        <v>1614299.46</v>
      </c>
      <c r="H121" s="394">
        <f t="shared" ref="H121" si="38">SUM(H91:H120)</f>
        <v>8902204</v>
      </c>
      <c r="I121" s="394">
        <f t="shared" si="37"/>
        <v>47078821.269999996</v>
      </c>
      <c r="J121" s="394">
        <f t="shared" ref="J121" si="39">SUM(J91:J120)</f>
        <v>3452336.23</v>
      </c>
      <c r="K121" s="394">
        <f t="shared" si="37"/>
        <v>15702645.560000001</v>
      </c>
      <c r="L121" s="394">
        <f t="shared" si="37"/>
        <v>17609295.199999999</v>
      </c>
      <c r="M121" s="394">
        <f t="shared" si="37"/>
        <v>16010531.41</v>
      </c>
      <c r="N121" s="394">
        <f t="shared" si="37"/>
        <v>120750752.97</v>
      </c>
      <c r="O121" s="31"/>
    </row>
    <row r="122" spans="1:15">
      <c r="A122" s="51" t="s">
        <v>25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</row>
    <row r="123" spans="1:15">
      <c r="A123" s="52" t="s">
        <v>25</v>
      </c>
      <c r="B123" s="87">
        <f>SUM('Ingresos Reales'!B112)</f>
        <v>0</v>
      </c>
      <c r="C123" s="87">
        <f>SUM('Ingresos Reales'!C112)</f>
        <v>0</v>
      </c>
      <c r="D123" s="87">
        <f>SUM('Ingresos Reales'!D112)</f>
        <v>0</v>
      </c>
      <c r="E123" s="87">
        <f>SUM('Ingresos Reales'!E112)</f>
        <v>0</v>
      </c>
      <c r="F123" s="87">
        <f>SUM('Ingresos Reales'!F112)</f>
        <v>0</v>
      </c>
      <c r="G123" s="87">
        <f>SUM('Ingresos Reales'!G112)</f>
        <v>0</v>
      </c>
      <c r="H123" s="87">
        <f>SUM('Ingresos Reales'!H112)</f>
        <v>0</v>
      </c>
      <c r="I123" s="87">
        <f>SUM('Ingresos Reales'!I112)</f>
        <v>0</v>
      </c>
      <c r="J123" s="87">
        <f>SUM('Ingresos Reales'!J112)</f>
        <v>0</v>
      </c>
      <c r="K123" s="87">
        <f>SUM('Ingresos Reales'!K112)</f>
        <v>0</v>
      </c>
      <c r="L123" s="87">
        <f>SUM('Ingresos Reales'!L112)</f>
        <v>0</v>
      </c>
      <c r="M123" s="87">
        <f>SUM('Ingresos Reales'!M112)</f>
        <v>0</v>
      </c>
      <c r="N123" s="87">
        <f>SUM(B123:M123)</f>
        <v>0</v>
      </c>
    </row>
    <row r="124" spans="1:15">
      <c r="A124" s="53" t="s">
        <v>95</v>
      </c>
      <c r="B124" s="394">
        <f>SUM(B123)</f>
        <v>0</v>
      </c>
      <c r="C124" s="394">
        <f t="shared" ref="C124:N124" si="40">SUM(C123)</f>
        <v>0</v>
      </c>
      <c r="D124" s="394">
        <f t="shared" si="40"/>
        <v>0</v>
      </c>
      <c r="E124" s="394">
        <f t="shared" si="40"/>
        <v>0</v>
      </c>
      <c r="F124" s="394">
        <f t="shared" si="40"/>
        <v>0</v>
      </c>
      <c r="G124" s="394">
        <f t="shared" si="40"/>
        <v>0</v>
      </c>
      <c r="H124" s="394">
        <f t="shared" ref="H124" si="41">SUM(H123)</f>
        <v>0</v>
      </c>
      <c r="I124" s="394">
        <f t="shared" si="40"/>
        <v>0</v>
      </c>
      <c r="J124" s="394">
        <f t="shared" ref="J124" si="42">SUM(J123)</f>
        <v>0</v>
      </c>
      <c r="K124" s="394">
        <f t="shared" si="40"/>
        <v>0</v>
      </c>
      <c r="L124" s="394">
        <f t="shared" si="40"/>
        <v>0</v>
      </c>
      <c r="M124" s="394">
        <f t="shared" si="40"/>
        <v>0</v>
      </c>
      <c r="N124" s="394">
        <f t="shared" si="40"/>
        <v>0</v>
      </c>
    </row>
    <row r="125" spans="1:15">
      <c r="A125" s="51" t="s">
        <v>97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</row>
    <row r="126" spans="1:15">
      <c r="A126" s="56" t="s">
        <v>241</v>
      </c>
      <c r="B126" s="87">
        <f>SUM('Ingresos Reales'!B115)</f>
        <v>11000000</v>
      </c>
      <c r="C126" s="87">
        <f>SUM('Ingresos Reales'!C115)</f>
        <v>13500000</v>
      </c>
      <c r="D126" s="87">
        <f>SUM('Ingresos Reales'!D115)</f>
        <v>35000000</v>
      </c>
      <c r="E126" s="87">
        <f>SUM('Ingresos Reales'!E115)</f>
        <v>10500000</v>
      </c>
      <c r="F126" s="87">
        <f>SUM('Ingresos Reales'!F115)</f>
        <v>24000000</v>
      </c>
      <c r="G126" s="87">
        <f>SUM('Ingresos Reales'!G115)</f>
        <v>31000000</v>
      </c>
      <c r="H126" s="87">
        <f>SUM('Ingresos Reales'!H115)</f>
        <v>13000000</v>
      </c>
      <c r="I126" s="87">
        <f>SUM('Ingresos Reales'!I115)</f>
        <v>8000000</v>
      </c>
      <c r="J126" s="87">
        <f>SUM('Ingresos Reales'!J115)</f>
        <v>28500000</v>
      </c>
      <c r="K126" s="87">
        <f>SUM('Ingresos Reales'!K115)</f>
        <v>22500000</v>
      </c>
      <c r="L126" s="87">
        <f>SUM('Ingresos Reales'!L115)</f>
        <v>0</v>
      </c>
      <c r="M126" s="87">
        <f>SUM('Ingresos Reales'!M115)</f>
        <v>39600000</v>
      </c>
      <c r="N126" s="87">
        <f>SUM(B126:M126)</f>
        <v>236600000</v>
      </c>
    </row>
    <row r="127" spans="1:15">
      <c r="A127" s="56" t="s">
        <v>242</v>
      </c>
      <c r="B127" s="87">
        <f>SUM('Ingresos Reales'!B116)</f>
        <v>0</v>
      </c>
      <c r="C127" s="87">
        <f>SUM('Ingresos Reales'!C116)</f>
        <v>0</v>
      </c>
      <c r="D127" s="87">
        <f>SUM('Ingresos Reales'!D116)</f>
        <v>0</v>
      </c>
      <c r="E127" s="87">
        <f>SUM('Ingresos Reales'!E116)</f>
        <v>0</v>
      </c>
      <c r="F127" s="87">
        <f>SUM('Ingresos Reales'!F116)</f>
        <v>0</v>
      </c>
      <c r="G127" s="87">
        <f>SUM('Ingresos Reales'!G116)</f>
        <v>0</v>
      </c>
      <c r="H127" s="87">
        <f>SUM('Ingresos Reales'!H116)</f>
        <v>0</v>
      </c>
      <c r="I127" s="87">
        <f>SUM('Ingresos Reales'!I116)</f>
        <v>0</v>
      </c>
      <c r="J127" s="87">
        <f>SUM('Ingresos Reales'!J116)</f>
        <v>0</v>
      </c>
      <c r="K127" s="87">
        <f>SUM('Ingresos Reales'!K116)</f>
        <v>0</v>
      </c>
      <c r="L127" s="87">
        <f>SUM('Ingresos Reales'!L116)</f>
        <v>0</v>
      </c>
      <c r="M127" s="87">
        <f>SUM('Ingresos Reales'!M116)</f>
        <v>0</v>
      </c>
      <c r="N127" s="87">
        <f>SUM(B127:M127)</f>
        <v>0</v>
      </c>
    </row>
    <row r="128" spans="1:15">
      <c r="A128" s="56" t="s">
        <v>243</v>
      </c>
      <c r="B128" s="87">
        <f>SUM('Ingresos Reales'!B117)</f>
        <v>0</v>
      </c>
      <c r="C128" s="87">
        <f>SUM('Ingresos Reales'!C117)</f>
        <v>0</v>
      </c>
      <c r="D128" s="87">
        <f>SUM('Ingresos Reales'!D117)</f>
        <v>0</v>
      </c>
      <c r="E128" s="87">
        <f>SUM('Ingresos Reales'!E117)</f>
        <v>0</v>
      </c>
      <c r="F128" s="87">
        <f>SUM('Ingresos Reales'!F117)</f>
        <v>0</v>
      </c>
      <c r="G128" s="87">
        <f>SUM('Ingresos Reales'!G117)</f>
        <v>0</v>
      </c>
      <c r="H128" s="87">
        <f>SUM('Ingresos Reales'!H117)</f>
        <v>0</v>
      </c>
      <c r="I128" s="87">
        <f>SUM('Ingresos Reales'!I117)</f>
        <v>0</v>
      </c>
      <c r="J128" s="87">
        <f>SUM('Ingresos Reales'!J117)</f>
        <v>0</v>
      </c>
      <c r="K128" s="87">
        <f>SUM('Ingresos Reales'!K117)</f>
        <v>0</v>
      </c>
      <c r="L128" s="87">
        <f>SUM('Ingresos Reales'!L117)</f>
        <v>0</v>
      </c>
      <c r="M128" s="87">
        <f>SUM('Ingresos Reales'!M117)</f>
        <v>0</v>
      </c>
      <c r="N128" s="87">
        <f>SUM(B128:M128)</f>
        <v>0</v>
      </c>
    </row>
    <row r="129" spans="1:14">
      <c r="A129" s="52" t="s">
        <v>350</v>
      </c>
      <c r="B129" s="87">
        <f>SUM('Ingresos Reales'!B118)</f>
        <v>0</v>
      </c>
      <c r="C129" s="87">
        <f>SUM('Ingresos Reales'!C118)</f>
        <v>0</v>
      </c>
      <c r="D129" s="87">
        <f>SUM('Ingresos Reales'!D118)</f>
        <v>0</v>
      </c>
      <c r="E129" s="87">
        <f>SUM('Ingresos Reales'!E118)</f>
        <v>0</v>
      </c>
      <c r="F129" s="87">
        <f>SUM('Ingresos Reales'!F118)</f>
        <v>0</v>
      </c>
      <c r="G129" s="87">
        <f>SUM('Ingresos Reales'!G118)</f>
        <v>0</v>
      </c>
      <c r="H129" s="87">
        <f>SUM('Ingresos Reales'!H118)</f>
        <v>0</v>
      </c>
      <c r="I129" s="87">
        <f>SUM('Ingresos Reales'!I118)</f>
        <v>0</v>
      </c>
      <c r="J129" s="87">
        <f>SUM('Ingresos Reales'!J118)</f>
        <v>0</v>
      </c>
      <c r="K129" s="87">
        <f>SUM('Ingresos Reales'!K118)</f>
        <v>0</v>
      </c>
      <c r="L129" s="87">
        <f>SUM('Ingresos Reales'!L118)</f>
        <v>0</v>
      </c>
      <c r="M129" s="87">
        <f>SUM('Ingresos Reales'!M118)</f>
        <v>0</v>
      </c>
      <c r="N129" s="87">
        <f>SUM(B129:M129)</f>
        <v>0</v>
      </c>
    </row>
    <row r="130" spans="1:14">
      <c r="A130" s="6" t="s">
        <v>398</v>
      </c>
      <c r="B130" s="87">
        <f>SUM('Ingresos Reales'!B119)</f>
        <v>0</v>
      </c>
      <c r="C130" s="87">
        <f>SUM('Ingresos Reales'!C119)</f>
        <v>0</v>
      </c>
      <c r="D130" s="87">
        <f>SUM('Ingresos Reales'!D119)</f>
        <v>0</v>
      </c>
      <c r="E130" s="87">
        <f>SUM('Ingresos Reales'!E119)</f>
        <v>0</v>
      </c>
      <c r="F130" s="87">
        <f>SUM('Ingresos Reales'!F119)</f>
        <v>0</v>
      </c>
      <c r="G130" s="87">
        <f>SUM('Ingresos Reales'!G119)</f>
        <v>0</v>
      </c>
      <c r="H130" s="87">
        <f>SUM('Ingresos Reales'!H119)</f>
        <v>0</v>
      </c>
      <c r="I130" s="87">
        <f>SUM('Ingresos Reales'!I119)</f>
        <v>0</v>
      </c>
      <c r="J130" s="87">
        <f>SUM('Ingresos Reales'!J119)</f>
        <v>0</v>
      </c>
      <c r="K130" s="87">
        <f>SUM('Ingresos Reales'!K119)</f>
        <v>0</v>
      </c>
      <c r="L130" s="87">
        <f>SUM('Ingresos Reales'!L119)</f>
        <v>0</v>
      </c>
      <c r="M130" s="87">
        <f>SUM('Ingresos Reales'!M119)</f>
        <v>0</v>
      </c>
      <c r="N130" s="87">
        <f>SUM(B130:M130)</f>
        <v>0</v>
      </c>
    </row>
    <row r="131" spans="1:14">
      <c r="A131" s="53" t="s">
        <v>98</v>
      </c>
      <c r="B131" s="394">
        <f>SUM(B126:B130)</f>
        <v>11000000</v>
      </c>
      <c r="C131" s="394">
        <f t="shared" ref="C131:N131" si="43">SUM(C126:C130)</f>
        <v>13500000</v>
      </c>
      <c r="D131" s="394">
        <f t="shared" si="43"/>
        <v>35000000</v>
      </c>
      <c r="E131" s="394">
        <f t="shared" si="43"/>
        <v>10500000</v>
      </c>
      <c r="F131" s="394">
        <f t="shared" si="43"/>
        <v>24000000</v>
      </c>
      <c r="G131" s="394">
        <f t="shared" si="43"/>
        <v>31000000</v>
      </c>
      <c r="H131" s="394">
        <f t="shared" ref="H131" si="44">SUM(H126:H130)</f>
        <v>13000000</v>
      </c>
      <c r="I131" s="394">
        <f t="shared" si="43"/>
        <v>8000000</v>
      </c>
      <c r="J131" s="394">
        <f t="shared" ref="J131" si="45">SUM(J126:J130)</f>
        <v>28500000</v>
      </c>
      <c r="K131" s="394">
        <f t="shared" si="43"/>
        <v>22500000</v>
      </c>
      <c r="L131" s="394">
        <f t="shared" si="43"/>
        <v>0</v>
      </c>
      <c r="M131" s="394">
        <f t="shared" si="43"/>
        <v>39600000</v>
      </c>
      <c r="N131" s="394">
        <f t="shared" si="43"/>
        <v>236600000</v>
      </c>
    </row>
    <row r="132" spans="1:14">
      <c r="A132" s="51" t="s">
        <v>26</v>
      </c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</row>
    <row r="133" spans="1:14">
      <c r="A133" s="56" t="s">
        <v>26</v>
      </c>
      <c r="B133" s="87">
        <f>SUM('Ingresos Reales'!B121)</f>
        <v>21457676.989999998</v>
      </c>
      <c r="C133" s="87">
        <f>SUM('Ingresos Reales'!C121)</f>
        <v>3323395.91</v>
      </c>
      <c r="D133" s="87">
        <f>SUM('Ingresos Reales'!D121)</f>
        <v>351244.24</v>
      </c>
      <c r="E133" s="87">
        <f>SUM('Ingresos Reales'!E121)</f>
        <v>686981.66</v>
      </c>
      <c r="F133" s="87">
        <f>SUM('Ingresos Reales'!F121)</f>
        <v>313190.75</v>
      </c>
      <c r="G133" s="87">
        <f>SUM('Ingresos Reales'!G121)</f>
        <v>164038</v>
      </c>
      <c r="H133" s="87">
        <f>SUM('Ingresos Reales'!H121)</f>
        <v>246307.71</v>
      </c>
      <c r="I133" s="87">
        <f>SUM('Ingresos Reales'!I121)</f>
        <v>399611</v>
      </c>
      <c r="J133" s="87">
        <f>SUM('Ingresos Reales'!J121)</f>
        <v>29276.93</v>
      </c>
      <c r="K133" s="87">
        <f>SUM('Ingresos Reales'!K121)</f>
        <v>189622.23</v>
      </c>
      <c r="L133" s="87">
        <f>SUM('Ingresos Reales'!L121)</f>
        <v>89701</v>
      </c>
      <c r="M133" s="87">
        <f>SUM('Ingresos Reales'!M121)</f>
        <v>17062673.07</v>
      </c>
      <c r="N133" s="87">
        <f>SUM(B133:M133)</f>
        <v>44313719.489999995</v>
      </c>
    </row>
    <row r="134" spans="1:14">
      <c r="A134" s="53" t="s">
        <v>96</v>
      </c>
      <c r="B134" s="394">
        <f>SUM(B133)</f>
        <v>21457676.989999998</v>
      </c>
      <c r="C134" s="394">
        <f t="shared" ref="C134:N134" si="46">SUM(C133)</f>
        <v>3323395.91</v>
      </c>
      <c r="D134" s="394">
        <f t="shared" si="46"/>
        <v>351244.24</v>
      </c>
      <c r="E134" s="394">
        <f t="shared" si="46"/>
        <v>686981.66</v>
      </c>
      <c r="F134" s="394">
        <f t="shared" si="46"/>
        <v>313190.75</v>
      </c>
      <c r="G134" s="394">
        <f t="shared" si="46"/>
        <v>164038</v>
      </c>
      <c r="H134" s="394">
        <f t="shared" ref="H134" si="47">SUM(H133)</f>
        <v>246307.71</v>
      </c>
      <c r="I134" s="394">
        <f t="shared" si="46"/>
        <v>399611</v>
      </c>
      <c r="J134" s="394">
        <f t="shared" ref="J134" si="48">SUM(J133)</f>
        <v>29276.93</v>
      </c>
      <c r="K134" s="394">
        <f t="shared" si="46"/>
        <v>189622.23</v>
      </c>
      <c r="L134" s="394">
        <f t="shared" si="46"/>
        <v>89701</v>
      </c>
      <c r="M134" s="394">
        <f t="shared" si="46"/>
        <v>17062673.07</v>
      </c>
      <c r="N134" s="394">
        <f t="shared" si="46"/>
        <v>44313719.489999995</v>
      </c>
    </row>
    <row r="135" spans="1:14" ht="13.5" thickBot="1">
      <c r="A135" s="52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</row>
    <row r="136" spans="1:14" ht="21.75" customHeight="1" thickBot="1">
      <c r="A136" s="590" t="s">
        <v>99</v>
      </c>
      <c r="B136" s="583">
        <f t="shared" ref="B136:N136" si="49">SUM(B134+B131+B124+B121+B89+B86+B78+B70+B58+B49+B36+B31+B17)</f>
        <v>128191929.06</v>
      </c>
      <c r="C136" s="583">
        <f t="shared" si="49"/>
        <v>125738721.58000001</v>
      </c>
      <c r="D136" s="583">
        <f t="shared" si="49"/>
        <v>109544690.34</v>
      </c>
      <c r="E136" s="583">
        <f t="shared" si="49"/>
        <v>92712275.480000019</v>
      </c>
      <c r="F136" s="583">
        <f t="shared" si="49"/>
        <v>94853724.689999998</v>
      </c>
      <c r="G136" s="583">
        <f t="shared" si="49"/>
        <v>104313228.16999999</v>
      </c>
      <c r="H136" s="583">
        <f t="shared" si="49"/>
        <v>96495069.739999995</v>
      </c>
      <c r="I136" s="583">
        <f t="shared" si="49"/>
        <v>128193688.34999999</v>
      </c>
      <c r="J136" s="583">
        <f t="shared" si="49"/>
        <v>102328046.61</v>
      </c>
      <c r="K136" s="583">
        <f t="shared" si="49"/>
        <v>110732978.63</v>
      </c>
      <c r="L136" s="583">
        <f t="shared" si="49"/>
        <v>82142348.289999992</v>
      </c>
      <c r="M136" s="583">
        <f t="shared" si="49"/>
        <v>203814750.30000001</v>
      </c>
      <c r="N136" s="584">
        <f t="shared" si="49"/>
        <v>1379061451.24</v>
      </c>
    </row>
    <row r="137" spans="1:14">
      <c r="A137" s="6"/>
      <c r="B137" s="50"/>
      <c r="C137" s="394"/>
      <c r="D137" s="50"/>
      <c r="E137" s="50"/>
      <c r="F137" s="87"/>
      <c r="G137" s="50"/>
      <c r="H137" s="50"/>
      <c r="I137" s="50"/>
      <c r="J137" s="50"/>
      <c r="K137" s="50"/>
      <c r="L137" s="50"/>
      <c r="M137" s="50"/>
      <c r="N137" s="50"/>
    </row>
    <row r="138" spans="1:14">
      <c r="A138" s="591" t="s">
        <v>100</v>
      </c>
      <c r="B138" s="592">
        <f t="shared" ref="B138:N138" si="50">SUM(B136+B6)</f>
        <v>156938162.88</v>
      </c>
      <c r="C138" s="592">
        <f t="shared" si="50"/>
        <v>194442377.26999998</v>
      </c>
      <c r="D138" s="592">
        <f t="shared" si="50"/>
        <v>221241745.54999998</v>
      </c>
      <c r="E138" s="592">
        <f t="shared" si="50"/>
        <v>195403519.36000001</v>
      </c>
      <c r="F138" s="592">
        <f t="shared" si="50"/>
        <v>205527392.30000001</v>
      </c>
      <c r="G138" s="592">
        <f t="shared" si="50"/>
        <v>200916290.59</v>
      </c>
      <c r="H138" s="592">
        <f t="shared" si="50"/>
        <v>181727040.13999999</v>
      </c>
      <c r="I138" s="592">
        <f t="shared" si="50"/>
        <v>195260990.60999995</v>
      </c>
      <c r="J138" s="592">
        <f t="shared" si="50"/>
        <v>193272319.71999997</v>
      </c>
      <c r="K138" s="592">
        <f t="shared" si="50"/>
        <v>190095626.92999998</v>
      </c>
      <c r="L138" s="592">
        <f t="shared" si="50"/>
        <v>160920305.40999997</v>
      </c>
      <c r="M138" s="592">
        <f t="shared" si="50"/>
        <v>255548441.22999996</v>
      </c>
      <c r="N138" s="592">
        <f t="shared" si="50"/>
        <v>1407807685.0599999</v>
      </c>
    </row>
    <row r="139" spans="1:14">
      <c r="A139" s="93"/>
      <c r="B139" s="576"/>
      <c r="C139" s="576"/>
      <c r="D139" s="576"/>
      <c r="E139" s="576"/>
      <c r="F139" s="576"/>
      <c r="G139" s="576"/>
      <c r="H139" s="576"/>
      <c r="I139" s="576"/>
      <c r="J139" s="576"/>
      <c r="K139" s="576"/>
      <c r="L139" s="576"/>
      <c r="M139" s="576"/>
      <c r="N139" s="576"/>
    </row>
    <row r="140" spans="1:14">
      <c r="A140" s="86" t="s">
        <v>101</v>
      </c>
      <c r="B140" s="574"/>
      <c r="C140" s="574"/>
      <c r="D140" s="574"/>
      <c r="E140" s="574"/>
      <c r="F140" s="574"/>
      <c r="G140" s="574"/>
      <c r="H140" s="574"/>
      <c r="I140" s="574"/>
      <c r="J140" s="574"/>
      <c r="K140" s="574"/>
      <c r="L140" s="574"/>
      <c r="M140" s="574"/>
      <c r="N140" s="574"/>
    </row>
    <row r="141" spans="1:14">
      <c r="A141" s="56" t="s">
        <v>267</v>
      </c>
      <c r="B141" s="87">
        <f>SUM('Egresos Reales'!B8)</f>
        <v>16533196</v>
      </c>
      <c r="C141" s="87">
        <f>SUM('Egresos Reales'!C8)</f>
        <v>15301223.74</v>
      </c>
      <c r="D141" s="87">
        <f>SUM('Egresos Reales'!D8)</f>
        <v>17342612</v>
      </c>
      <c r="E141" s="87">
        <f>SUM('Egresos Reales'!E8)</f>
        <v>20282884</v>
      </c>
      <c r="F141" s="87">
        <f>SUM('Egresos Reales'!F8)</f>
        <v>17550846</v>
      </c>
      <c r="G141" s="87">
        <f>SUM('Egresos Reales'!G8)</f>
        <v>16734529</v>
      </c>
      <c r="H141" s="87">
        <f>SUM('Egresos Reales'!H8)</f>
        <v>17319463</v>
      </c>
      <c r="I141" s="87">
        <f>SUM('Egresos Reales'!I8)</f>
        <v>17877687</v>
      </c>
      <c r="J141" s="87">
        <f>SUM('Egresos Reales'!J8)</f>
        <v>16885320</v>
      </c>
      <c r="K141" s="87">
        <f>SUM('Egresos Reales'!K8)</f>
        <v>17448261</v>
      </c>
      <c r="L141" s="87">
        <f>SUM('Egresos Reales'!L8)</f>
        <v>17175186</v>
      </c>
      <c r="M141" s="87">
        <f>SUM('Egresos Reales'!M8)</f>
        <v>48073050</v>
      </c>
      <c r="N141" s="87">
        <f>SUM(B141:M141)</f>
        <v>238524257.74000001</v>
      </c>
    </row>
    <row r="142" spans="1:14">
      <c r="A142" s="56" t="s">
        <v>268</v>
      </c>
      <c r="B142" s="87">
        <f>SUM('Egresos Reales'!B9)</f>
        <v>4881274.9800000004</v>
      </c>
      <c r="C142" s="87">
        <f>SUM('Egresos Reales'!C9)</f>
        <v>4871423.8899999997</v>
      </c>
      <c r="D142" s="87">
        <f>SUM('Egresos Reales'!D9)</f>
        <v>4426406.68</v>
      </c>
      <c r="E142" s="87">
        <f>SUM('Egresos Reales'!E9)</f>
        <v>4507355.97</v>
      </c>
      <c r="F142" s="87">
        <f>SUM('Egresos Reales'!F9)</f>
        <v>5503419.0199999996</v>
      </c>
      <c r="G142" s="87">
        <f>SUM('Egresos Reales'!G9)</f>
        <v>5554643.5899999999</v>
      </c>
      <c r="H142" s="87">
        <f>SUM('Egresos Reales'!H9)</f>
        <v>4684228.53</v>
      </c>
      <c r="I142" s="87">
        <f>SUM('Egresos Reales'!I9)</f>
        <v>4687757.42</v>
      </c>
      <c r="J142" s="87">
        <f>SUM('Egresos Reales'!J9)</f>
        <v>4688350.99</v>
      </c>
      <c r="K142" s="87">
        <f>SUM('Egresos Reales'!K9)</f>
        <v>5055553.99</v>
      </c>
      <c r="L142" s="87">
        <f>SUM('Egresos Reales'!L9)</f>
        <v>3993506.64</v>
      </c>
      <c r="M142" s="87">
        <f>SUM('Egresos Reales'!M9)</f>
        <v>5098547.54</v>
      </c>
      <c r="N142" s="87">
        <f>SUM(B142:M142)</f>
        <v>57952469.240000002</v>
      </c>
    </row>
    <row r="143" spans="1:14">
      <c r="A143" s="56" t="s">
        <v>102</v>
      </c>
      <c r="B143" s="87">
        <f>SUM('Egresos Reales'!B10)</f>
        <v>2553238.7999999998</v>
      </c>
      <c r="C143" s="87">
        <f>SUM('Egresos Reales'!C10)</f>
        <v>4875656.5</v>
      </c>
      <c r="D143" s="87">
        <f>SUM('Egresos Reales'!D10)</f>
        <v>5853395.5599999996</v>
      </c>
      <c r="E143" s="87">
        <f>SUM('Egresos Reales'!E10)</f>
        <v>4240975.42</v>
      </c>
      <c r="F143" s="87">
        <f>SUM('Egresos Reales'!F10)</f>
        <v>5371799.7999999998</v>
      </c>
      <c r="G143" s="87">
        <f>SUM('Egresos Reales'!G10)</f>
        <v>6229000.1699999999</v>
      </c>
      <c r="H143" s="87">
        <f>SUM('Egresos Reales'!H10)</f>
        <v>5839324.6699999999</v>
      </c>
      <c r="I143" s="87">
        <f>SUM('Egresos Reales'!I10)</f>
        <v>4183853.07</v>
      </c>
      <c r="J143" s="87">
        <f>SUM('Egresos Reales'!J10)</f>
        <v>3626048.24</v>
      </c>
      <c r="K143" s="87">
        <f>SUM('Egresos Reales'!K10)</f>
        <v>3777357</v>
      </c>
      <c r="L143" s="87">
        <f>SUM('Egresos Reales'!L10)</f>
        <v>2687956.63</v>
      </c>
      <c r="M143" s="87">
        <f>SUM('Egresos Reales'!M10)</f>
        <v>4803877.4800000004</v>
      </c>
      <c r="N143" s="87">
        <f>SUM(B143:M143)</f>
        <v>54042483.340000004</v>
      </c>
    </row>
    <row r="144" spans="1:14">
      <c r="A144" s="58" t="s">
        <v>269</v>
      </c>
      <c r="B144" s="394">
        <f>SUM(B141:B143)</f>
        <v>23967709.780000001</v>
      </c>
      <c r="C144" s="394">
        <f t="shared" ref="C144:N144" si="51">SUM(C141:C143)</f>
        <v>25048304.129999999</v>
      </c>
      <c r="D144" s="394">
        <f t="shared" si="51"/>
        <v>27622414.239999998</v>
      </c>
      <c r="E144" s="394">
        <f t="shared" si="51"/>
        <v>29031215.390000001</v>
      </c>
      <c r="F144" s="394">
        <f t="shared" si="51"/>
        <v>28426064.82</v>
      </c>
      <c r="G144" s="394">
        <f t="shared" si="51"/>
        <v>28518172.759999998</v>
      </c>
      <c r="H144" s="394">
        <f t="shared" ref="H144" si="52">SUM(H141:H143)</f>
        <v>27843016.200000003</v>
      </c>
      <c r="I144" s="394">
        <f t="shared" si="51"/>
        <v>26749297.490000002</v>
      </c>
      <c r="J144" s="394">
        <f t="shared" ref="J144" si="53">SUM(J141:J143)</f>
        <v>25199719.230000004</v>
      </c>
      <c r="K144" s="394">
        <f t="shared" si="51"/>
        <v>26281171.990000002</v>
      </c>
      <c r="L144" s="394">
        <f t="shared" si="51"/>
        <v>23856649.27</v>
      </c>
      <c r="M144" s="394">
        <f t="shared" si="51"/>
        <v>57975475.019999996</v>
      </c>
      <c r="N144" s="394">
        <f t="shared" si="51"/>
        <v>350519210.32000005</v>
      </c>
    </row>
    <row r="145" spans="1:14">
      <c r="A145" s="51" t="s">
        <v>49</v>
      </c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</row>
    <row r="146" spans="1:14">
      <c r="A146" s="56" t="s">
        <v>103</v>
      </c>
      <c r="B146" s="87">
        <f>SUM('Egresos Reales'!B13)</f>
        <v>6000784.8399999999</v>
      </c>
      <c r="C146" s="87">
        <f>SUM('Egresos Reales'!C13)</f>
        <v>6102720.1900000004</v>
      </c>
      <c r="D146" s="87">
        <f>SUM('Egresos Reales'!D13)</f>
        <v>5904636.3700000001</v>
      </c>
      <c r="E146" s="87">
        <f>SUM('Egresos Reales'!E13)</f>
        <v>5382142.9400000004</v>
      </c>
      <c r="F146" s="87">
        <f>SUM('Egresos Reales'!F13)</f>
        <v>5855277.9500000002</v>
      </c>
      <c r="G146" s="87">
        <f>SUM('Egresos Reales'!G13)</f>
        <v>5778957.2000000002</v>
      </c>
      <c r="H146" s="87">
        <f>SUM('Egresos Reales'!H13)</f>
        <v>5713289.46</v>
      </c>
      <c r="I146" s="87">
        <f>SUM('Egresos Reales'!I13)</f>
        <v>5127120.5999999996</v>
      </c>
      <c r="J146" s="87">
        <f>SUM('Egresos Reales'!J13)</f>
        <v>5180832.93</v>
      </c>
      <c r="K146" s="87">
        <f>SUM('Egresos Reales'!K13)</f>
        <v>6733320.5999999996</v>
      </c>
      <c r="L146" s="87">
        <f>SUM('Egresos Reales'!L13)</f>
        <v>6840390.6299999999</v>
      </c>
      <c r="M146" s="87">
        <f>SUM('Egresos Reales'!M13)</f>
        <v>5635601.75</v>
      </c>
      <c r="N146" s="87">
        <f t="shared" ref="N146:N151" si="54">SUM(B146:M146)</f>
        <v>70255075.460000008</v>
      </c>
    </row>
    <row r="147" spans="1:14">
      <c r="A147" s="56" t="s">
        <v>104</v>
      </c>
      <c r="B147" s="87">
        <f>SUM('Egresos Reales'!B14)</f>
        <v>2844941.03</v>
      </c>
      <c r="C147" s="87">
        <f>SUM('Egresos Reales'!C14)</f>
        <v>3497486.3</v>
      </c>
      <c r="D147" s="87">
        <f>SUM('Egresos Reales'!D14)</f>
        <v>3494901.6</v>
      </c>
      <c r="E147" s="87">
        <f>SUM('Egresos Reales'!E14)</f>
        <v>2368497.6</v>
      </c>
      <c r="F147" s="87">
        <f>SUM('Egresos Reales'!F14)</f>
        <v>3339097.93</v>
      </c>
      <c r="G147" s="87">
        <f>SUM('Egresos Reales'!G14)</f>
        <v>2811672.7</v>
      </c>
      <c r="H147" s="87">
        <f>SUM('Egresos Reales'!H14)</f>
        <v>2463164.89</v>
      </c>
      <c r="I147" s="87">
        <f>SUM('Egresos Reales'!I14)</f>
        <v>3032165.01</v>
      </c>
      <c r="J147" s="87">
        <f>SUM('Egresos Reales'!J14)</f>
        <v>2555010.69</v>
      </c>
      <c r="K147" s="87">
        <f>SUM('Egresos Reales'!K14)</f>
        <v>2680863.15</v>
      </c>
      <c r="L147" s="87">
        <f>SUM('Egresos Reales'!L14)</f>
        <v>2337557.92</v>
      </c>
      <c r="M147" s="87">
        <f>SUM('Egresos Reales'!M14)</f>
        <v>2281356.75</v>
      </c>
      <c r="N147" s="87">
        <f t="shared" si="54"/>
        <v>33706715.57</v>
      </c>
    </row>
    <row r="148" spans="1:14">
      <c r="A148" s="56" t="s">
        <v>105</v>
      </c>
      <c r="B148" s="87">
        <f>SUM('Egresos Reales'!B15)</f>
        <v>90480</v>
      </c>
      <c r="C148" s="87">
        <f>SUM('Egresos Reales'!C15)</f>
        <v>0</v>
      </c>
      <c r="D148" s="87">
        <f>SUM('Egresos Reales'!D15)</f>
        <v>30160</v>
      </c>
      <c r="E148" s="87">
        <f>SUM('Egresos Reales'!E15)</f>
        <v>37700</v>
      </c>
      <c r="F148" s="87">
        <f>SUM('Egresos Reales'!F15)</f>
        <v>60320</v>
      </c>
      <c r="G148" s="87">
        <f>SUM('Egresos Reales'!G15)</f>
        <v>15080</v>
      </c>
      <c r="H148" s="87">
        <f>SUM('Egresos Reales'!H15)</f>
        <v>22620</v>
      </c>
      <c r="I148" s="87">
        <f>SUM('Egresos Reales'!I15)</f>
        <v>30160</v>
      </c>
      <c r="J148" s="87">
        <f>SUM('Egresos Reales'!J15)</f>
        <v>37700</v>
      </c>
      <c r="K148" s="87">
        <f>SUM('Egresos Reales'!K15)</f>
        <v>37700</v>
      </c>
      <c r="L148" s="87">
        <f>SUM('Egresos Reales'!L15)</f>
        <v>29900.01</v>
      </c>
      <c r="M148" s="87">
        <f>SUM('Egresos Reales'!M15)</f>
        <v>45240</v>
      </c>
      <c r="N148" s="87">
        <f t="shared" si="54"/>
        <v>437060.01</v>
      </c>
    </row>
    <row r="149" spans="1:14">
      <c r="A149" s="56" t="s">
        <v>106</v>
      </c>
      <c r="B149" s="87">
        <f>SUM('Egresos Reales'!B16)</f>
        <v>0</v>
      </c>
      <c r="C149" s="87">
        <f>SUM('Egresos Reales'!C16)</f>
        <v>0</v>
      </c>
      <c r="D149" s="87">
        <f>SUM('Egresos Reales'!D16)</f>
        <v>0</v>
      </c>
      <c r="E149" s="87">
        <f>SUM('Egresos Reales'!E16)</f>
        <v>0</v>
      </c>
      <c r="F149" s="87">
        <f>SUM('Egresos Reales'!F16)</f>
        <v>0</v>
      </c>
      <c r="G149" s="87">
        <f>SUM('Egresos Reales'!G16)</f>
        <v>0</v>
      </c>
      <c r="H149" s="87">
        <f>SUM('Egresos Reales'!H16)</f>
        <v>0</v>
      </c>
      <c r="I149" s="87">
        <f>SUM('Egresos Reales'!I16)</f>
        <v>0</v>
      </c>
      <c r="J149" s="87">
        <f>SUM('Egresos Reales'!J16)</f>
        <v>0</v>
      </c>
      <c r="K149" s="87">
        <f>SUM('Egresos Reales'!K16)</f>
        <v>0</v>
      </c>
      <c r="L149" s="87">
        <f>SUM('Egresos Reales'!L16)</f>
        <v>0</v>
      </c>
      <c r="M149" s="87">
        <f>SUM('Egresos Reales'!M16)</f>
        <v>0</v>
      </c>
      <c r="N149" s="87">
        <f t="shared" si="54"/>
        <v>0</v>
      </c>
    </row>
    <row r="150" spans="1:14">
      <c r="A150" s="56" t="s">
        <v>107</v>
      </c>
      <c r="B150" s="87">
        <f>SUM('Egresos Reales'!B17)</f>
        <v>0</v>
      </c>
      <c r="C150" s="87">
        <f>SUM('Egresos Reales'!C17)</f>
        <v>0</v>
      </c>
      <c r="D150" s="87">
        <f>SUM('Egresos Reales'!D17)</f>
        <v>0</v>
      </c>
      <c r="E150" s="87">
        <f>SUM('Egresos Reales'!E17)</f>
        <v>0</v>
      </c>
      <c r="F150" s="87">
        <f>SUM('Egresos Reales'!F17)</f>
        <v>0</v>
      </c>
      <c r="G150" s="87">
        <f>SUM('Egresos Reales'!G17)</f>
        <v>0</v>
      </c>
      <c r="H150" s="87">
        <f>SUM('Egresos Reales'!H17)</f>
        <v>0</v>
      </c>
      <c r="I150" s="87">
        <f>SUM('Egresos Reales'!I17)</f>
        <v>0</v>
      </c>
      <c r="J150" s="87">
        <f>SUM('Egresos Reales'!J17)</f>
        <v>0</v>
      </c>
      <c r="K150" s="87">
        <f>SUM('Egresos Reales'!K17)</f>
        <v>0</v>
      </c>
      <c r="L150" s="87">
        <f>SUM('Egresos Reales'!L17)</f>
        <v>0</v>
      </c>
      <c r="M150" s="87">
        <f>SUM('Egresos Reales'!M17)</f>
        <v>0</v>
      </c>
      <c r="N150" s="87">
        <f t="shared" si="54"/>
        <v>0</v>
      </c>
    </row>
    <row r="151" spans="1:14">
      <c r="A151" s="56" t="s">
        <v>26</v>
      </c>
      <c r="B151" s="87">
        <f>SUM('Egresos Reales'!B18)</f>
        <v>331957.95</v>
      </c>
      <c r="C151" s="87">
        <f>SUM('Egresos Reales'!C18)</f>
        <v>498113.51</v>
      </c>
      <c r="D151" s="87">
        <f>SUM('Egresos Reales'!D18)</f>
        <v>345747.86</v>
      </c>
      <c r="E151" s="87">
        <f>SUM('Egresos Reales'!E18)</f>
        <v>137874.16</v>
      </c>
      <c r="F151" s="87">
        <f>SUM('Egresos Reales'!F18)</f>
        <v>815731.4</v>
      </c>
      <c r="G151" s="87">
        <f>SUM('Egresos Reales'!G18)</f>
        <v>598060.36</v>
      </c>
      <c r="H151" s="87">
        <f>SUM('Egresos Reales'!H18)</f>
        <v>517982.71</v>
      </c>
      <c r="I151" s="87">
        <f>SUM('Egresos Reales'!I18)</f>
        <v>463459.28</v>
      </c>
      <c r="J151" s="87">
        <f>SUM('Egresos Reales'!J18)</f>
        <v>239961.99</v>
      </c>
      <c r="K151" s="87">
        <f>SUM('Egresos Reales'!K18)</f>
        <v>565981.29</v>
      </c>
      <c r="L151" s="87">
        <f>SUM('Egresos Reales'!L18)</f>
        <v>397568.84</v>
      </c>
      <c r="M151" s="87">
        <f>SUM('Egresos Reales'!M18)</f>
        <v>577019.11</v>
      </c>
      <c r="N151" s="87">
        <f t="shared" si="54"/>
        <v>5489458.46</v>
      </c>
    </row>
    <row r="152" spans="1:14">
      <c r="A152" s="58" t="s">
        <v>108</v>
      </c>
      <c r="B152" s="394">
        <f>SUM(B146:B151)</f>
        <v>9268163.8199999984</v>
      </c>
      <c r="C152" s="394">
        <f t="shared" ref="C152:N152" si="55">SUM(C146:C151)</f>
        <v>10098320</v>
      </c>
      <c r="D152" s="394">
        <f t="shared" si="55"/>
        <v>9775445.8300000001</v>
      </c>
      <c r="E152" s="394">
        <f t="shared" si="55"/>
        <v>7926214.7000000011</v>
      </c>
      <c r="F152" s="394">
        <f t="shared" si="55"/>
        <v>10070427.280000001</v>
      </c>
      <c r="G152" s="394">
        <f t="shared" si="55"/>
        <v>9203770.2599999998</v>
      </c>
      <c r="H152" s="394">
        <f t="shared" ref="H152" si="56">SUM(H146:H151)</f>
        <v>8717057.0600000005</v>
      </c>
      <c r="I152" s="394">
        <f t="shared" si="55"/>
        <v>8652904.8899999987</v>
      </c>
      <c r="J152" s="394">
        <f t="shared" ref="J152" si="57">SUM(J146:J151)</f>
        <v>8013505.6099999994</v>
      </c>
      <c r="K152" s="394">
        <f t="shared" si="55"/>
        <v>10017865.039999999</v>
      </c>
      <c r="L152" s="394">
        <f t="shared" si="55"/>
        <v>9605417.4000000004</v>
      </c>
      <c r="M152" s="394">
        <f t="shared" si="55"/>
        <v>8539217.6099999994</v>
      </c>
      <c r="N152" s="394">
        <f t="shared" si="55"/>
        <v>109888309.5</v>
      </c>
    </row>
    <row r="153" spans="1:14">
      <c r="A153" s="51" t="s">
        <v>50</v>
      </c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</row>
    <row r="154" spans="1:14">
      <c r="A154" s="56" t="s">
        <v>109</v>
      </c>
      <c r="B154" s="87">
        <f>SUM('Egresos Reales'!B21)</f>
        <v>624866.48</v>
      </c>
      <c r="C154" s="87">
        <f>SUM('Egresos Reales'!C21)</f>
        <v>307021.95</v>
      </c>
      <c r="D154" s="87">
        <f>SUM('Egresos Reales'!D21)</f>
        <v>2243815.9</v>
      </c>
      <c r="E154" s="87">
        <f>SUM('Egresos Reales'!E21)</f>
        <v>134909.20000000001</v>
      </c>
      <c r="F154" s="87">
        <f>SUM('Egresos Reales'!F21)</f>
        <v>720441.1</v>
      </c>
      <c r="G154" s="87">
        <f>SUM('Egresos Reales'!G21)</f>
        <v>1373777.98</v>
      </c>
      <c r="H154" s="87">
        <f>SUM('Egresos Reales'!H21)</f>
        <v>313536.11</v>
      </c>
      <c r="I154" s="87">
        <f>SUM('Egresos Reales'!I21)</f>
        <v>2659062.56</v>
      </c>
      <c r="J154" s="87">
        <f>SUM('Egresos Reales'!J21)</f>
        <v>759818</v>
      </c>
      <c r="K154" s="87">
        <f>SUM('Egresos Reales'!K21)</f>
        <v>745918.15</v>
      </c>
      <c r="L154" s="87">
        <f>SUM('Egresos Reales'!L21)</f>
        <v>596518.99</v>
      </c>
      <c r="M154" s="87">
        <f>SUM('Egresos Reales'!M21)</f>
        <v>572400.6</v>
      </c>
      <c r="N154" s="87">
        <f t="shared" ref="N154:N159" si="58">SUM(B154:M154)</f>
        <v>11052087.020000001</v>
      </c>
    </row>
    <row r="155" spans="1:14">
      <c r="A155" s="56" t="s">
        <v>110</v>
      </c>
      <c r="B155" s="87">
        <f>SUM('Egresos Reales'!B22)</f>
        <v>0</v>
      </c>
      <c r="C155" s="87">
        <f>SUM('Egresos Reales'!C22)</f>
        <v>0</v>
      </c>
      <c r="D155" s="87">
        <f>SUM('Egresos Reales'!D22)</f>
        <v>0</v>
      </c>
      <c r="E155" s="87">
        <f>SUM('Egresos Reales'!E22)</f>
        <v>0</v>
      </c>
      <c r="F155" s="87">
        <f>SUM('Egresos Reales'!F22)</f>
        <v>0</v>
      </c>
      <c r="G155" s="87">
        <f>SUM('Egresos Reales'!G22)</f>
        <v>0</v>
      </c>
      <c r="H155" s="87">
        <f>SUM('Egresos Reales'!H22)</f>
        <v>0</v>
      </c>
      <c r="I155" s="87">
        <f>SUM('Egresos Reales'!I22)</f>
        <v>0</v>
      </c>
      <c r="J155" s="87">
        <f>SUM('Egresos Reales'!J22)</f>
        <v>0</v>
      </c>
      <c r="K155" s="87">
        <f>SUM('Egresos Reales'!K22)</f>
        <v>0</v>
      </c>
      <c r="L155" s="87">
        <f>SUM('Egresos Reales'!L22)</f>
        <v>0</v>
      </c>
      <c r="M155" s="87">
        <f>SUM('Egresos Reales'!M22)</f>
        <v>0</v>
      </c>
      <c r="N155" s="87">
        <f t="shared" si="58"/>
        <v>0</v>
      </c>
    </row>
    <row r="156" spans="1:14">
      <c r="A156" s="56" t="s">
        <v>111</v>
      </c>
      <c r="B156" s="87">
        <f>SUM('Egresos Reales'!B23)</f>
        <v>1867433.4</v>
      </c>
      <c r="C156" s="87">
        <f>SUM('Egresos Reales'!C23)</f>
        <v>228827.21</v>
      </c>
      <c r="D156" s="87">
        <f>SUM('Egresos Reales'!D23)</f>
        <v>1447614.73</v>
      </c>
      <c r="E156" s="87">
        <f>SUM('Egresos Reales'!E23)</f>
        <v>160506.71</v>
      </c>
      <c r="F156" s="87">
        <f>SUM('Egresos Reales'!F23)</f>
        <v>440146.99</v>
      </c>
      <c r="G156" s="87">
        <f>SUM('Egresos Reales'!G23)</f>
        <v>554114.1</v>
      </c>
      <c r="H156" s="87">
        <f>SUM('Egresos Reales'!H23)</f>
        <v>552895.41</v>
      </c>
      <c r="I156" s="87">
        <f>SUM('Egresos Reales'!I23)</f>
        <v>703788.61</v>
      </c>
      <c r="J156" s="87">
        <f>SUM('Egresos Reales'!J23)</f>
        <v>1136442.51</v>
      </c>
      <c r="K156" s="87">
        <f>SUM('Egresos Reales'!K23)</f>
        <v>660269.18000000005</v>
      </c>
      <c r="L156" s="87">
        <f>SUM('Egresos Reales'!L23)</f>
        <v>553971.21</v>
      </c>
      <c r="M156" s="87">
        <f>SUM('Egresos Reales'!M23)</f>
        <v>2494788.15</v>
      </c>
      <c r="N156" s="87">
        <f t="shared" si="58"/>
        <v>10800798.209999999</v>
      </c>
    </row>
    <row r="157" spans="1:14">
      <c r="A157" s="56" t="s">
        <v>270</v>
      </c>
      <c r="B157" s="87">
        <f>SUM('Egresos Reales'!B24)</f>
        <v>139338.76</v>
      </c>
      <c r="C157" s="87">
        <f>SUM('Egresos Reales'!C24)</f>
        <v>286917.08</v>
      </c>
      <c r="D157" s="87">
        <f>SUM('Egresos Reales'!D24)</f>
        <v>85896.9</v>
      </c>
      <c r="E157" s="87">
        <f>SUM('Egresos Reales'!E24)</f>
        <v>85149.45</v>
      </c>
      <c r="F157" s="87">
        <f>SUM('Egresos Reales'!F24)</f>
        <v>197316.47</v>
      </c>
      <c r="G157" s="87">
        <f>SUM('Egresos Reales'!G24)</f>
        <v>257686.8</v>
      </c>
      <c r="H157" s="87">
        <f>SUM('Egresos Reales'!H24)</f>
        <v>309201.44</v>
      </c>
      <c r="I157" s="87">
        <f>SUM('Egresos Reales'!I24)</f>
        <v>496176.08</v>
      </c>
      <c r="J157" s="87">
        <f>SUM('Egresos Reales'!J24)</f>
        <v>143751.44</v>
      </c>
      <c r="K157" s="87">
        <f>SUM('Egresos Reales'!K24)</f>
        <v>320336.75</v>
      </c>
      <c r="L157" s="87">
        <f>SUM('Egresos Reales'!L24)</f>
        <v>206200.95</v>
      </c>
      <c r="M157" s="87">
        <f>SUM('Egresos Reales'!M24)</f>
        <v>189100.76</v>
      </c>
      <c r="N157" s="87">
        <f t="shared" si="58"/>
        <v>2717072.88</v>
      </c>
    </row>
    <row r="158" spans="1:14">
      <c r="A158" s="56" t="s">
        <v>271</v>
      </c>
      <c r="B158" s="87">
        <f>SUM('Egresos Reales'!B25)</f>
        <v>531704.68000000005</v>
      </c>
      <c r="C158" s="87">
        <f>SUM('Egresos Reales'!C25)</f>
        <v>1315707.18</v>
      </c>
      <c r="D158" s="87">
        <f>SUM('Egresos Reales'!D25)</f>
        <v>1418715.43</v>
      </c>
      <c r="E158" s="87">
        <f>SUM('Egresos Reales'!E25)</f>
        <v>957485.6</v>
      </c>
      <c r="F158" s="87">
        <f>SUM('Egresos Reales'!F25)</f>
        <v>1997610.05</v>
      </c>
      <c r="G158" s="87">
        <f>SUM('Egresos Reales'!G25)</f>
        <v>2667606.39</v>
      </c>
      <c r="H158" s="87">
        <f>SUM('Egresos Reales'!H25)</f>
        <v>1684852.84</v>
      </c>
      <c r="I158" s="87">
        <f>SUM('Egresos Reales'!I25)</f>
        <v>2323693.35</v>
      </c>
      <c r="J158" s="87">
        <f>SUM('Egresos Reales'!J25)</f>
        <v>1331854.53</v>
      </c>
      <c r="K158" s="87">
        <f>SUM('Egresos Reales'!K25)</f>
        <v>963460.8</v>
      </c>
      <c r="L158" s="87">
        <f>SUM('Egresos Reales'!L25)</f>
        <v>1363337.68</v>
      </c>
      <c r="M158" s="87">
        <f>SUM('Egresos Reales'!M25)</f>
        <v>897959.34</v>
      </c>
      <c r="N158" s="87">
        <f t="shared" si="58"/>
        <v>17453987.870000001</v>
      </c>
    </row>
    <row r="159" spans="1:14">
      <c r="A159" s="56" t="s">
        <v>26</v>
      </c>
      <c r="B159" s="87">
        <f>SUM('Egresos Reales'!B26)</f>
        <v>134433.5</v>
      </c>
      <c r="C159" s="87">
        <f>SUM('Egresos Reales'!C26)</f>
        <v>111360</v>
      </c>
      <c r="D159" s="87">
        <f>SUM('Egresos Reales'!D26)</f>
        <v>337635.19</v>
      </c>
      <c r="E159" s="87">
        <f>SUM('Egresos Reales'!E26)</f>
        <v>168803.5</v>
      </c>
      <c r="F159" s="87">
        <f>SUM('Egresos Reales'!F26)</f>
        <v>273447.5</v>
      </c>
      <c r="G159" s="87">
        <f>SUM('Egresos Reales'!G26)</f>
        <v>201497</v>
      </c>
      <c r="H159" s="87">
        <f>SUM('Egresos Reales'!H26)</f>
        <v>133884.5</v>
      </c>
      <c r="I159" s="87">
        <f>SUM('Egresos Reales'!I26)</f>
        <v>99835.5</v>
      </c>
      <c r="J159" s="87">
        <f>SUM('Egresos Reales'!J26)</f>
        <v>216811</v>
      </c>
      <c r="K159" s="87">
        <f>SUM('Egresos Reales'!K26)</f>
        <v>329415.5</v>
      </c>
      <c r="L159" s="87">
        <f>SUM('Egresos Reales'!L26)</f>
        <v>263086</v>
      </c>
      <c r="M159" s="87">
        <f>SUM('Egresos Reales'!M26)</f>
        <v>78931</v>
      </c>
      <c r="N159" s="87">
        <f t="shared" si="58"/>
        <v>2349140.19</v>
      </c>
    </row>
    <row r="160" spans="1:14">
      <c r="A160" s="56" t="s">
        <v>467</v>
      </c>
      <c r="B160" s="87">
        <f>SUM('Egresos Reales'!B27)</f>
        <v>285846</v>
      </c>
      <c r="C160" s="87">
        <f>SUM('Egresos Reales'!C27)</f>
        <v>281604.87</v>
      </c>
      <c r="D160" s="87">
        <f>SUM('Egresos Reales'!D27)</f>
        <v>379104.69</v>
      </c>
      <c r="E160" s="87">
        <f>SUM('Egresos Reales'!E27)</f>
        <v>317032.84999999998</v>
      </c>
      <c r="F160" s="87">
        <f>SUM('Egresos Reales'!F27)</f>
        <v>452972.29</v>
      </c>
      <c r="G160" s="87">
        <f>SUM('Egresos Reales'!G27)</f>
        <v>306045.21000000002</v>
      </c>
      <c r="H160" s="87">
        <f>SUM('Egresos Reales'!H27)</f>
        <v>309000.71000000002</v>
      </c>
      <c r="I160" s="87">
        <f>SUM('Egresos Reales'!I27)</f>
        <v>352193.41</v>
      </c>
      <c r="J160" s="87">
        <f>SUM('Egresos Reales'!J27)</f>
        <v>280203.77</v>
      </c>
      <c r="K160" s="87">
        <f>SUM('Egresos Reales'!K27)</f>
        <v>408902.1</v>
      </c>
      <c r="L160" s="87">
        <f>SUM('Egresos Reales'!L27)</f>
        <v>305545.81</v>
      </c>
      <c r="M160" s="87">
        <f>SUM('Egresos Reales'!M27)</f>
        <v>732074.16</v>
      </c>
      <c r="N160" s="87">
        <f>SUM(B160:M160)</f>
        <v>4410525.87</v>
      </c>
    </row>
    <row r="161" spans="1:14">
      <c r="A161" s="58" t="s">
        <v>112</v>
      </c>
      <c r="B161" s="394">
        <f>SUM(B154:B160)</f>
        <v>3583622.82</v>
      </c>
      <c r="C161" s="394">
        <f t="shared" ref="C161:N161" si="59">SUM(C154:C160)</f>
        <v>2531438.29</v>
      </c>
      <c r="D161" s="394">
        <f t="shared" si="59"/>
        <v>5912782.8400000008</v>
      </c>
      <c r="E161" s="394">
        <f t="shared" si="59"/>
        <v>1823887.31</v>
      </c>
      <c r="F161" s="394">
        <f t="shared" si="59"/>
        <v>4081934.4</v>
      </c>
      <c r="G161" s="394">
        <f t="shared" si="59"/>
        <v>5360727.4799999995</v>
      </c>
      <c r="H161" s="394">
        <f t="shared" ref="H161" si="60">SUM(H154:H160)</f>
        <v>3303371.01</v>
      </c>
      <c r="I161" s="394">
        <f t="shared" si="59"/>
        <v>6634749.5099999998</v>
      </c>
      <c r="J161" s="394">
        <f t="shared" ref="J161" si="61">SUM(J154:J160)</f>
        <v>3868881.25</v>
      </c>
      <c r="K161" s="394">
        <f t="shared" si="59"/>
        <v>3428302.48</v>
      </c>
      <c r="L161" s="394">
        <f t="shared" si="59"/>
        <v>3288660.64</v>
      </c>
      <c r="M161" s="394">
        <f t="shared" si="59"/>
        <v>4965254.01</v>
      </c>
      <c r="N161" s="394">
        <f t="shared" si="59"/>
        <v>48783612.039999999</v>
      </c>
    </row>
    <row r="162" spans="1:14">
      <c r="A162" s="51" t="s">
        <v>326</v>
      </c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</row>
    <row r="163" spans="1:14">
      <c r="A163" s="56" t="s">
        <v>342</v>
      </c>
      <c r="B163" s="87">
        <f>SUM('Egresos Reales'!B30)</f>
        <v>5080246.9800000004</v>
      </c>
      <c r="C163" s="87">
        <f>SUM('Egresos Reales'!C30)</f>
        <v>4656380.63</v>
      </c>
      <c r="D163" s="87">
        <f>SUM('Egresos Reales'!D30)</f>
        <v>6139426.7199999997</v>
      </c>
      <c r="E163" s="87">
        <f>SUM('Egresos Reales'!E30)</f>
        <v>2999718.01</v>
      </c>
      <c r="F163" s="87">
        <f>SUM('Egresos Reales'!F30)</f>
        <v>4251852.05</v>
      </c>
      <c r="G163" s="87">
        <f>SUM('Egresos Reales'!G30)</f>
        <v>4712057.04</v>
      </c>
      <c r="H163" s="87">
        <f>SUM('Egresos Reales'!H30)</f>
        <v>3086556.51</v>
      </c>
      <c r="I163" s="87">
        <f>SUM('Egresos Reales'!I30)</f>
        <v>3518526.44</v>
      </c>
      <c r="J163" s="87">
        <f>SUM('Egresos Reales'!J30)</f>
        <v>4299515.1100000003</v>
      </c>
      <c r="K163" s="87">
        <f>SUM('Egresos Reales'!K30)</f>
        <v>3489132.69</v>
      </c>
      <c r="L163" s="87">
        <f>SUM('Egresos Reales'!L30)</f>
        <v>4062373.26</v>
      </c>
      <c r="M163" s="87">
        <f>SUM('Egresos Reales'!M30)</f>
        <v>1803772.38</v>
      </c>
      <c r="N163" s="87">
        <f t="shared" ref="N163:N169" si="62">SUM(B163:M163)</f>
        <v>48099557.819999993</v>
      </c>
    </row>
    <row r="164" spans="1:14">
      <c r="A164" s="56" t="s">
        <v>113</v>
      </c>
      <c r="B164" s="87">
        <f>SUM('Egresos Reales'!B31)</f>
        <v>1306449.01</v>
      </c>
      <c r="C164" s="87">
        <f>SUM('Egresos Reales'!C31)</f>
        <v>1850693.76</v>
      </c>
      <c r="D164" s="87">
        <f>SUM('Egresos Reales'!D31)</f>
        <v>1819605.03</v>
      </c>
      <c r="E164" s="87">
        <f>SUM('Egresos Reales'!E31)</f>
        <v>667246.05000000005</v>
      </c>
      <c r="F164" s="87">
        <f>SUM('Egresos Reales'!F31)</f>
        <v>2050737.55</v>
      </c>
      <c r="G164" s="87">
        <f>SUM('Egresos Reales'!G31)</f>
        <v>1460101.4</v>
      </c>
      <c r="H164" s="87">
        <f>SUM('Egresos Reales'!H31)</f>
        <v>1225093.1399999999</v>
      </c>
      <c r="I164" s="87">
        <f>SUM('Egresos Reales'!I31)</f>
        <v>1229025.95</v>
      </c>
      <c r="J164" s="87">
        <f>SUM('Egresos Reales'!J31)</f>
        <v>924206.92</v>
      </c>
      <c r="K164" s="87">
        <f>SUM('Egresos Reales'!K31)</f>
        <v>1065855.1599999999</v>
      </c>
      <c r="L164" s="87">
        <f>SUM('Egresos Reales'!L31)</f>
        <v>720277.89</v>
      </c>
      <c r="M164" s="87">
        <f>SUM('Egresos Reales'!M31)</f>
        <v>1203834.9099999999</v>
      </c>
      <c r="N164" s="87">
        <f t="shared" si="62"/>
        <v>15523126.77</v>
      </c>
    </row>
    <row r="165" spans="1:14">
      <c r="A165" s="56" t="s">
        <v>114</v>
      </c>
      <c r="B165" s="87">
        <f>SUM('Egresos Reales'!B32)</f>
        <v>3561.2</v>
      </c>
      <c r="C165" s="87">
        <f>SUM('Egresos Reales'!C32)</f>
        <v>66700</v>
      </c>
      <c r="D165" s="87">
        <f>SUM('Egresos Reales'!D32)</f>
        <v>123412.4</v>
      </c>
      <c r="E165" s="87">
        <f>SUM('Egresos Reales'!E32)</f>
        <v>82631</v>
      </c>
      <c r="F165" s="87">
        <f>SUM('Egresos Reales'!F32)</f>
        <v>5399.8</v>
      </c>
      <c r="G165" s="87">
        <f>SUM('Egresos Reales'!G32)</f>
        <v>5599.99</v>
      </c>
      <c r="H165" s="87">
        <f>SUM('Egresos Reales'!H32)</f>
        <v>1150.3900000000001</v>
      </c>
      <c r="I165" s="87">
        <f>SUM('Egresos Reales'!I32)</f>
        <v>2556</v>
      </c>
      <c r="J165" s="87">
        <f>SUM('Egresos Reales'!J32)</f>
        <v>118006.8</v>
      </c>
      <c r="K165" s="87">
        <f>SUM('Egresos Reales'!K32)</f>
        <v>5744.32</v>
      </c>
      <c r="L165" s="87">
        <f>SUM('Egresos Reales'!L32)</f>
        <v>1392</v>
      </c>
      <c r="M165" s="87">
        <f>SUM('Egresos Reales'!M32)</f>
        <v>4663.2</v>
      </c>
      <c r="N165" s="87">
        <f t="shared" si="62"/>
        <v>420817.1</v>
      </c>
    </row>
    <row r="166" spans="1:14">
      <c r="A166" s="56" t="s">
        <v>115</v>
      </c>
      <c r="B166" s="87">
        <f>SUM('Egresos Reales'!B33)</f>
        <v>240074.51</v>
      </c>
      <c r="C166" s="87">
        <f>SUM('Egresos Reales'!C33)</f>
        <v>558397.29</v>
      </c>
      <c r="D166" s="87">
        <f>SUM('Egresos Reales'!D33)</f>
        <v>154165.20000000001</v>
      </c>
      <c r="E166" s="87">
        <f>SUM('Egresos Reales'!E33)</f>
        <v>252382.49</v>
      </c>
      <c r="F166" s="87">
        <f>SUM('Egresos Reales'!F33)</f>
        <v>415303.89</v>
      </c>
      <c r="G166" s="87">
        <f>SUM('Egresos Reales'!G33)</f>
        <v>464214.29</v>
      </c>
      <c r="H166" s="87">
        <f>SUM('Egresos Reales'!H33)</f>
        <v>370528.02</v>
      </c>
      <c r="I166" s="87">
        <f>SUM('Egresos Reales'!I33)</f>
        <v>448185.42</v>
      </c>
      <c r="J166" s="87">
        <f>SUM('Egresos Reales'!J33)</f>
        <v>467334.08</v>
      </c>
      <c r="K166" s="87">
        <f>SUM('Egresos Reales'!K33)</f>
        <v>294703.34999999998</v>
      </c>
      <c r="L166" s="87">
        <f>SUM('Egresos Reales'!L33)</f>
        <v>302892.98</v>
      </c>
      <c r="M166" s="87">
        <f>SUM('Egresos Reales'!M33)</f>
        <v>145753.72</v>
      </c>
      <c r="N166" s="87">
        <f t="shared" si="62"/>
        <v>4113935.24</v>
      </c>
    </row>
    <row r="167" spans="1:14">
      <c r="A167" s="56" t="s">
        <v>116</v>
      </c>
      <c r="B167" s="87">
        <f>SUM('Egresos Reales'!B34)</f>
        <v>45065.05</v>
      </c>
      <c r="C167" s="87">
        <f>SUM('Egresos Reales'!C34)</f>
        <v>25005.200000000001</v>
      </c>
      <c r="D167" s="87">
        <f>SUM('Egresos Reales'!D34)</f>
        <v>73296.47</v>
      </c>
      <c r="E167" s="87">
        <f>SUM('Egresos Reales'!E34)</f>
        <v>66966.19</v>
      </c>
      <c r="F167" s="87">
        <f>SUM('Egresos Reales'!F34)</f>
        <v>48011.53</v>
      </c>
      <c r="G167" s="87">
        <f>SUM('Egresos Reales'!G34)</f>
        <v>42373.89</v>
      </c>
      <c r="H167" s="87">
        <f>SUM('Egresos Reales'!H34)</f>
        <v>24625.58</v>
      </c>
      <c r="I167" s="87">
        <f>SUM('Egresos Reales'!I34)</f>
        <v>34713.75</v>
      </c>
      <c r="J167" s="87">
        <f>SUM('Egresos Reales'!J34)</f>
        <v>36282.44</v>
      </c>
      <c r="K167" s="87">
        <f>SUM('Egresos Reales'!K34)</f>
        <v>65607.039999999994</v>
      </c>
      <c r="L167" s="87">
        <f>SUM('Egresos Reales'!L34)</f>
        <v>30236.21</v>
      </c>
      <c r="M167" s="87">
        <f>SUM('Egresos Reales'!M34)</f>
        <v>31487.06</v>
      </c>
      <c r="N167" s="87">
        <f t="shared" si="62"/>
        <v>523670.41000000003</v>
      </c>
    </row>
    <row r="168" spans="1:14">
      <c r="A168" s="56" t="s">
        <v>117</v>
      </c>
      <c r="B168" s="87">
        <f>SUM('Egresos Reales'!B35)</f>
        <v>0</v>
      </c>
      <c r="C168" s="87">
        <f>SUM('Egresos Reales'!C35)</f>
        <v>0</v>
      </c>
      <c r="D168" s="87">
        <f>SUM('Egresos Reales'!D35)</f>
        <v>0</v>
      </c>
      <c r="E168" s="87">
        <f>SUM('Egresos Reales'!E35)</f>
        <v>0</v>
      </c>
      <c r="F168" s="87">
        <f>SUM('Egresos Reales'!F35)</f>
        <v>0</v>
      </c>
      <c r="G168" s="87">
        <f>SUM('Egresos Reales'!G35)</f>
        <v>0</v>
      </c>
      <c r="H168" s="87">
        <f>SUM('Egresos Reales'!H35)</f>
        <v>0</v>
      </c>
      <c r="I168" s="87">
        <f>SUM('Egresos Reales'!I35)</f>
        <v>0</v>
      </c>
      <c r="J168" s="87">
        <f>SUM('Egresos Reales'!J35)</f>
        <v>0</v>
      </c>
      <c r="K168" s="87">
        <f>SUM('Egresos Reales'!K35)</f>
        <v>0</v>
      </c>
      <c r="L168" s="87">
        <f>SUM('Egresos Reales'!L35)</f>
        <v>0</v>
      </c>
      <c r="M168" s="87">
        <f>SUM('Egresos Reales'!M35)</f>
        <v>0</v>
      </c>
      <c r="N168" s="87">
        <f t="shared" si="62"/>
        <v>0</v>
      </c>
    </row>
    <row r="169" spans="1:14">
      <c r="A169" s="56" t="s">
        <v>26</v>
      </c>
      <c r="B169" s="87">
        <f>SUM('Egresos Reales'!B36)</f>
        <v>643144.09</v>
      </c>
      <c r="C169" s="87">
        <f>SUM('Egresos Reales'!C36)</f>
        <v>807205.85</v>
      </c>
      <c r="D169" s="87">
        <f>SUM('Egresos Reales'!D36)</f>
        <v>275060.47999999998</v>
      </c>
      <c r="E169" s="87">
        <f>SUM('Egresos Reales'!E36)</f>
        <v>75359</v>
      </c>
      <c r="F169" s="87">
        <f>SUM('Egresos Reales'!F36)</f>
        <v>102684.69</v>
      </c>
      <c r="G169" s="87">
        <f>SUM('Egresos Reales'!G36)</f>
        <v>60653.88</v>
      </c>
      <c r="H169" s="87">
        <f>SUM('Egresos Reales'!H36)</f>
        <v>752569.17</v>
      </c>
      <c r="I169" s="87">
        <f>SUM('Egresos Reales'!I36)</f>
        <v>33042.89</v>
      </c>
      <c r="J169" s="87">
        <f>SUM('Egresos Reales'!J36)</f>
        <v>171605.37</v>
      </c>
      <c r="K169" s="87">
        <f>SUM('Egresos Reales'!K36)</f>
        <v>397190.37</v>
      </c>
      <c r="L169" s="87">
        <f>SUM('Egresos Reales'!L36)</f>
        <v>133415.13</v>
      </c>
      <c r="M169" s="87">
        <f>SUM('Egresos Reales'!M36)</f>
        <v>38211.58</v>
      </c>
      <c r="N169" s="87">
        <f t="shared" si="62"/>
        <v>3490142.5</v>
      </c>
    </row>
    <row r="170" spans="1:14">
      <c r="A170" s="58" t="s">
        <v>118</v>
      </c>
      <c r="B170" s="394">
        <f>SUM(B163:B169)</f>
        <v>7318540.8399999999</v>
      </c>
      <c r="C170" s="394">
        <f t="shared" ref="C170:N170" si="63">SUM(C163:C169)</f>
        <v>7964382.7299999995</v>
      </c>
      <c r="D170" s="394">
        <f t="shared" si="63"/>
        <v>8584966.3000000007</v>
      </c>
      <c r="E170" s="394">
        <f t="shared" si="63"/>
        <v>4144302.7399999998</v>
      </c>
      <c r="F170" s="394">
        <f t="shared" si="63"/>
        <v>6873989.5099999998</v>
      </c>
      <c r="G170" s="394">
        <f t="shared" si="63"/>
        <v>6745000.4899999993</v>
      </c>
      <c r="H170" s="394">
        <f t="shared" ref="H170" si="64">SUM(H163:H169)</f>
        <v>5460522.8099999987</v>
      </c>
      <c r="I170" s="394">
        <f t="shared" si="63"/>
        <v>5266050.4499999993</v>
      </c>
      <c r="J170" s="394">
        <f t="shared" ref="J170" si="65">SUM(J163:J169)</f>
        <v>6016950.7200000007</v>
      </c>
      <c r="K170" s="394">
        <f t="shared" si="63"/>
        <v>5318232.93</v>
      </c>
      <c r="L170" s="394">
        <f t="shared" si="63"/>
        <v>5250587.4699999988</v>
      </c>
      <c r="M170" s="394">
        <f t="shared" si="63"/>
        <v>3227722.8500000006</v>
      </c>
      <c r="N170" s="394">
        <f t="shared" si="63"/>
        <v>72171249.839999989</v>
      </c>
    </row>
    <row r="171" spans="1:14">
      <c r="A171" s="51" t="s">
        <v>51</v>
      </c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</row>
    <row r="172" spans="1:14">
      <c r="A172" s="56" t="s">
        <v>119</v>
      </c>
      <c r="B172" s="87">
        <f>SUM('Egresos Reales'!B39)</f>
        <v>925361.59</v>
      </c>
      <c r="C172" s="87">
        <f>SUM('Egresos Reales'!C39)</f>
        <v>1243289.45</v>
      </c>
      <c r="D172" s="87">
        <f>SUM('Egresos Reales'!D39)</f>
        <v>918264.45</v>
      </c>
      <c r="E172" s="87">
        <f>SUM('Egresos Reales'!E39)</f>
        <v>288128.77</v>
      </c>
      <c r="F172" s="87">
        <f>SUM('Egresos Reales'!F39)</f>
        <v>311194.15000000002</v>
      </c>
      <c r="G172" s="87">
        <f>SUM('Egresos Reales'!G39)</f>
        <v>691484.03</v>
      </c>
      <c r="H172" s="87">
        <f>SUM('Egresos Reales'!H39)</f>
        <v>489134.31</v>
      </c>
      <c r="I172" s="87">
        <f>SUM('Egresos Reales'!I39)</f>
        <v>280314.46999999997</v>
      </c>
      <c r="J172" s="87">
        <f>SUM('Egresos Reales'!J39)</f>
        <v>798146.6</v>
      </c>
      <c r="K172" s="87">
        <f>SUM('Egresos Reales'!K39)</f>
        <v>439092.35</v>
      </c>
      <c r="L172" s="87">
        <f>SUM('Egresos Reales'!L39)</f>
        <v>65400.04</v>
      </c>
      <c r="M172" s="87">
        <f>SUM('Egresos Reales'!M39)</f>
        <v>497577.93</v>
      </c>
      <c r="N172" s="87">
        <f>SUM(B172:M172)</f>
        <v>6947388.1399999987</v>
      </c>
    </row>
    <row r="173" spans="1:14">
      <c r="A173" s="56" t="s">
        <v>120</v>
      </c>
      <c r="B173" s="87">
        <f>SUM('Egresos Reales'!B40)</f>
        <v>0</v>
      </c>
      <c r="C173" s="87">
        <f>SUM('Egresos Reales'!C40)</f>
        <v>0</v>
      </c>
      <c r="D173" s="87">
        <f>SUM('Egresos Reales'!D40)</f>
        <v>0</v>
      </c>
      <c r="E173" s="87">
        <f>SUM('Egresos Reales'!E40)</f>
        <v>550000</v>
      </c>
      <c r="F173" s="87">
        <f>SUM('Egresos Reales'!F40)</f>
        <v>0</v>
      </c>
      <c r="G173" s="87">
        <f>SUM('Egresos Reales'!G40)</f>
        <v>600000</v>
      </c>
      <c r="H173" s="87">
        <f>SUM('Egresos Reales'!H40)</f>
        <v>0</v>
      </c>
      <c r="I173" s="87">
        <f>SUM('Egresos Reales'!I40)</f>
        <v>0</v>
      </c>
      <c r="J173" s="87">
        <f>SUM('Egresos Reales'!J40)</f>
        <v>0</v>
      </c>
      <c r="K173" s="87">
        <f>SUM('Egresos Reales'!K40)</f>
        <v>0</v>
      </c>
      <c r="L173" s="87">
        <f>SUM('Egresos Reales'!L40)</f>
        <v>0</v>
      </c>
      <c r="M173" s="87">
        <f>SUM('Egresos Reales'!M40)</f>
        <v>0</v>
      </c>
      <c r="N173" s="87">
        <f>SUM(B173:M173)</f>
        <v>1150000</v>
      </c>
    </row>
    <row r="174" spans="1:14">
      <c r="A174" s="58" t="s">
        <v>121</v>
      </c>
      <c r="B174" s="394">
        <f t="shared" ref="B174:M174" si="66">SUM(B172:B173)</f>
        <v>925361.59</v>
      </c>
      <c r="C174" s="394">
        <f t="shared" si="66"/>
        <v>1243289.45</v>
      </c>
      <c r="D174" s="394">
        <f t="shared" si="66"/>
        <v>918264.45</v>
      </c>
      <c r="E174" s="394">
        <f t="shared" si="66"/>
        <v>838128.77</v>
      </c>
      <c r="F174" s="394">
        <f t="shared" si="66"/>
        <v>311194.15000000002</v>
      </c>
      <c r="G174" s="394">
        <f t="shared" si="66"/>
        <v>1291484.03</v>
      </c>
      <c r="H174" s="394">
        <f t="shared" ref="H174" si="67">SUM(H172:H173)</f>
        <v>489134.31</v>
      </c>
      <c r="I174" s="394">
        <f t="shared" si="66"/>
        <v>280314.46999999997</v>
      </c>
      <c r="J174" s="394">
        <f t="shared" ref="J174" si="68">SUM(J172:J173)</f>
        <v>798146.6</v>
      </c>
      <c r="K174" s="394">
        <f t="shared" si="66"/>
        <v>439092.35</v>
      </c>
      <c r="L174" s="394">
        <f t="shared" si="66"/>
        <v>65400.04</v>
      </c>
      <c r="M174" s="394">
        <f t="shared" si="66"/>
        <v>497577.93</v>
      </c>
      <c r="N174" s="394">
        <f>SUM(N172:N173)</f>
        <v>8097388.1399999987</v>
      </c>
    </row>
    <row r="175" spans="1:14">
      <c r="A175" s="51" t="s">
        <v>122</v>
      </c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</row>
    <row r="176" spans="1:14">
      <c r="A176" s="56" t="s">
        <v>123</v>
      </c>
      <c r="B176" s="87">
        <f>SUM('Egresos Reales'!B43)</f>
        <v>4381211.04</v>
      </c>
      <c r="C176" s="87">
        <f>SUM('Egresos Reales'!C43)</f>
        <v>4180690.46</v>
      </c>
      <c r="D176" s="87">
        <f>SUM('Egresos Reales'!D43)</f>
        <v>9088398.9000000004</v>
      </c>
      <c r="E176" s="87">
        <f>SUM('Egresos Reales'!E43)</f>
        <v>3689804.72</v>
      </c>
      <c r="F176" s="87">
        <f>SUM('Egresos Reales'!F43)</f>
        <v>6855594.0599999996</v>
      </c>
      <c r="G176" s="87">
        <f>SUM('Egresos Reales'!G43)</f>
        <v>6587552.0499999998</v>
      </c>
      <c r="H176" s="87">
        <f>SUM('Egresos Reales'!H43)</f>
        <v>6260543.79</v>
      </c>
      <c r="I176" s="87">
        <f>SUM('Egresos Reales'!I43)</f>
        <v>4967691.09</v>
      </c>
      <c r="J176" s="87">
        <f>SUM('Egresos Reales'!J43)</f>
        <v>8446919.8800000008</v>
      </c>
      <c r="K176" s="87">
        <f>SUM('Egresos Reales'!K43)</f>
        <v>4706903.8099999996</v>
      </c>
      <c r="L176" s="87">
        <f>SUM('Egresos Reales'!L43)</f>
        <v>6915574.7400000002</v>
      </c>
      <c r="M176" s="87">
        <f>SUM('Egresos Reales'!M43)</f>
        <v>6771312.79</v>
      </c>
      <c r="N176" s="87">
        <f>SUM(B176:M176)</f>
        <v>72852197.330000013</v>
      </c>
    </row>
    <row r="177" spans="1:14">
      <c r="A177" s="26" t="s">
        <v>488</v>
      </c>
      <c r="B177" s="87">
        <f>SUM('Egresos Reales'!B44)</f>
        <v>13324133.630000001</v>
      </c>
      <c r="C177" s="87">
        <f>SUM('Egresos Reales'!C44)</f>
        <v>12545096.09</v>
      </c>
      <c r="D177" s="87">
        <f>SUM('Egresos Reales'!D44)</f>
        <v>30255567.510000002</v>
      </c>
      <c r="E177" s="87">
        <f>SUM('Egresos Reales'!E44)</f>
        <v>11883019.9</v>
      </c>
      <c r="F177" s="87">
        <f>SUM('Egresos Reales'!F44)</f>
        <v>21670486.829999998</v>
      </c>
      <c r="G177" s="87">
        <f>SUM('Egresos Reales'!G44)</f>
        <v>8952113.0399999991</v>
      </c>
      <c r="H177" s="87">
        <f>SUM('Egresos Reales'!H44)</f>
        <v>19934186.489999998</v>
      </c>
      <c r="I177" s="87">
        <f>SUM('Egresos Reales'!I44)</f>
        <v>9999496.0600000005</v>
      </c>
      <c r="J177" s="87">
        <f>SUM('Egresos Reales'!J44)</f>
        <v>10452338.73</v>
      </c>
      <c r="K177" s="87">
        <f>SUM('Egresos Reales'!K44)</f>
        <v>16996907.079999998</v>
      </c>
      <c r="L177" s="87">
        <f>SUM('Egresos Reales'!L44)</f>
        <v>14322980.550000001</v>
      </c>
      <c r="M177" s="87">
        <f>SUM('Egresos Reales'!M44)</f>
        <v>871128.42</v>
      </c>
      <c r="N177" s="87">
        <f>SUM(B177:M177)</f>
        <v>171207454.33000001</v>
      </c>
    </row>
    <row r="178" spans="1:14">
      <c r="A178" s="56" t="s">
        <v>124</v>
      </c>
      <c r="B178" s="87">
        <f>SUM('Egresos Reales'!B45)</f>
        <v>0</v>
      </c>
      <c r="C178" s="87">
        <f>SUM('Egresos Reales'!C45)</f>
        <v>0</v>
      </c>
      <c r="D178" s="87">
        <f>SUM('Egresos Reales'!D45)</f>
        <v>0</v>
      </c>
      <c r="E178" s="87">
        <f>SUM('Egresos Reales'!E45)</f>
        <v>0</v>
      </c>
      <c r="F178" s="87">
        <f>SUM('Egresos Reales'!F45)</f>
        <v>0</v>
      </c>
      <c r="G178" s="87">
        <f>SUM('Egresos Reales'!G45)</f>
        <v>0</v>
      </c>
      <c r="H178" s="87">
        <f>SUM('Egresos Reales'!H45)</f>
        <v>0</v>
      </c>
      <c r="I178" s="87">
        <f>SUM('Egresos Reales'!I45)</f>
        <v>0</v>
      </c>
      <c r="J178" s="87">
        <f>SUM('Egresos Reales'!J45)</f>
        <v>0</v>
      </c>
      <c r="K178" s="87">
        <f>SUM('Egresos Reales'!K45)</f>
        <v>0</v>
      </c>
      <c r="L178" s="87">
        <f>SUM('Egresos Reales'!L45)</f>
        <v>0</v>
      </c>
      <c r="M178" s="87">
        <f>SUM('Egresos Reales'!M45)</f>
        <v>0</v>
      </c>
      <c r="N178" s="87">
        <f>SUM(B178:M178)</f>
        <v>0</v>
      </c>
    </row>
    <row r="179" spans="1:14">
      <c r="A179" s="56" t="s">
        <v>125</v>
      </c>
      <c r="B179" s="87">
        <f>SUM('Egresos Reales'!B46)</f>
        <v>0</v>
      </c>
      <c r="C179" s="87">
        <f>SUM('Egresos Reales'!C46)</f>
        <v>0</v>
      </c>
      <c r="D179" s="87">
        <f>SUM('Egresos Reales'!D46)</f>
        <v>0</v>
      </c>
      <c r="E179" s="87">
        <f>SUM('Egresos Reales'!E46)</f>
        <v>0</v>
      </c>
      <c r="F179" s="87">
        <f>SUM('Egresos Reales'!F46)</f>
        <v>0</v>
      </c>
      <c r="G179" s="87">
        <f>SUM('Egresos Reales'!G46)</f>
        <v>0</v>
      </c>
      <c r="H179" s="87">
        <f>SUM('Egresos Reales'!H46)</f>
        <v>0</v>
      </c>
      <c r="I179" s="87">
        <f>SUM('Egresos Reales'!I46)</f>
        <v>0</v>
      </c>
      <c r="J179" s="87">
        <f>SUM('Egresos Reales'!J46)</f>
        <v>0</v>
      </c>
      <c r="K179" s="87">
        <f>SUM('Egresos Reales'!K46)</f>
        <v>0</v>
      </c>
      <c r="L179" s="87">
        <f>SUM('Egresos Reales'!L46)</f>
        <v>0</v>
      </c>
      <c r="M179" s="87">
        <f>SUM('Egresos Reales'!M46)</f>
        <v>0</v>
      </c>
      <c r="N179" s="87">
        <f>SUM(B179:M179)</f>
        <v>0</v>
      </c>
    </row>
    <row r="180" spans="1:14">
      <c r="A180" s="58" t="s">
        <v>126</v>
      </c>
      <c r="B180" s="394">
        <f>SUM(B176:B179)</f>
        <v>17705344.670000002</v>
      </c>
      <c r="C180" s="394">
        <f t="shared" ref="C180:N180" si="69">SUM(C176:C179)</f>
        <v>16725786.550000001</v>
      </c>
      <c r="D180" s="394">
        <f t="shared" si="69"/>
        <v>39343966.410000004</v>
      </c>
      <c r="E180" s="394">
        <f t="shared" si="69"/>
        <v>15572824.620000001</v>
      </c>
      <c r="F180" s="394">
        <f t="shared" si="69"/>
        <v>28526080.889999997</v>
      </c>
      <c r="G180" s="394">
        <f t="shared" si="69"/>
        <v>15539665.09</v>
      </c>
      <c r="H180" s="394">
        <f t="shared" ref="H180" si="70">SUM(H176:H179)</f>
        <v>26194730.279999997</v>
      </c>
      <c r="I180" s="394">
        <f t="shared" si="69"/>
        <v>14967187.15</v>
      </c>
      <c r="J180" s="394">
        <f t="shared" ref="J180" si="71">SUM(J176:J179)</f>
        <v>18899258.609999999</v>
      </c>
      <c r="K180" s="394">
        <f t="shared" si="69"/>
        <v>21703810.889999997</v>
      </c>
      <c r="L180" s="394">
        <f t="shared" si="69"/>
        <v>21238555.289999999</v>
      </c>
      <c r="M180" s="394">
        <f t="shared" si="69"/>
        <v>7642441.21</v>
      </c>
      <c r="N180" s="394">
        <f t="shared" si="69"/>
        <v>244059651.66000003</v>
      </c>
    </row>
    <row r="181" spans="1:14">
      <c r="A181" s="51" t="s">
        <v>327</v>
      </c>
      <c r="B181" s="394"/>
      <c r="C181" s="394"/>
      <c r="D181" s="394"/>
      <c r="E181" s="394"/>
      <c r="F181" s="394"/>
      <c r="G181" s="394"/>
      <c r="H181" s="394"/>
      <c r="I181" s="394"/>
      <c r="J181" s="394"/>
      <c r="K181" s="394"/>
      <c r="L181" s="394"/>
      <c r="M181" s="394"/>
      <c r="N181" s="394"/>
    </row>
    <row r="182" spans="1:14">
      <c r="A182" s="59" t="s">
        <v>328</v>
      </c>
      <c r="B182" s="87">
        <f>SUM('Egresos Reales'!B50)</f>
        <v>0</v>
      </c>
      <c r="C182" s="87">
        <f>SUM('Egresos Reales'!C50)</f>
        <v>0</v>
      </c>
      <c r="D182" s="87">
        <f>SUM('Egresos Reales'!D50)</f>
        <v>0</v>
      </c>
      <c r="E182" s="87">
        <f>SUM('Egresos Reales'!E50)</f>
        <v>0</v>
      </c>
      <c r="F182" s="87">
        <f>SUM('Egresos Reales'!F50)</f>
        <v>0</v>
      </c>
      <c r="G182" s="87">
        <f>SUM('Egresos Reales'!G50)</f>
        <v>0</v>
      </c>
      <c r="H182" s="87">
        <f>SUM('Egresos Reales'!H50)</f>
        <v>0</v>
      </c>
      <c r="I182" s="87">
        <f>SUM('Egresos Reales'!I50)</f>
        <v>0</v>
      </c>
      <c r="J182" s="87">
        <f>SUM('Egresos Reales'!J50)</f>
        <v>0</v>
      </c>
      <c r="K182" s="87">
        <f>SUM('Egresos Reales'!K50)</f>
        <v>0</v>
      </c>
      <c r="L182" s="87">
        <f>SUM('Egresos Reales'!L50)</f>
        <v>0</v>
      </c>
      <c r="M182" s="87">
        <f>SUM('Egresos Reales'!M50)</f>
        <v>0</v>
      </c>
      <c r="N182" s="87">
        <f t="shared" ref="N182:N193" si="72">SUM(B182:M182)</f>
        <v>0</v>
      </c>
    </row>
    <row r="183" spans="1:14">
      <c r="A183" s="59" t="s">
        <v>111</v>
      </c>
      <c r="B183" s="87">
        <f>SUM('Egresos Reales'!B51)</f>
        <v>0</v>
      </c>
      <c r="C183" s="87">
        <f>SUM('Egresos Reales'!C51)</f>
        <v>0</v>
      </c>
      <c r="D183" s="87">
        <f>SUM('Egresos Reales'!D51)</f>
        <v>0</v>
      </c>
      <c r="E183" s="87">
        <f>SUM('Egresos Reales'!E51)</f>
        <v>0</v>
      </c>
      <c r="F183" s="87">
        <f>SUM('Egresos Reales'!F51)</f>
        <v>0</v>
      </c>
      <c r="G183" s="87">
        <f>SUM('Egresos Reales'!G51)</f>
        <v>0</v>
      </c>
      <c r="H183" s="87">
        <f>SUM('Egresos Reales'!H51)</f>
        <v>0</v>
      </c>
      <c r="I183" s="87">
        <f>SUM('Egresos Reales'!I51)</f>
        <v>0</v>
      </c>
      <c r="J183" s="87">
        <f>SUM('Egresos Reales'!J51)</f>
        <v>0</v>
      </c>
      <c r="K183" s="87">
        <f>SUM('Egresos Reales'!K51)</f>
        <v>0</v>
      </c>
      <c r="L183" s="87">
        <f>SUM('Egresos Reales'!L51)</f>
        <v>0</v>
      </c>
      <c r="M183" s="87">
        <f>SUM('Egresos Reales'!M51)</f>
        <v>0</v>
      </c>
      <c r="N183" s="87">
        <f t="shared" si="72"/>
        <v>0</v>
      </c>
    </row>
    <row r="184" spans="1:14">
      <c r="A184" s="59" t="s">
        <v>555</v>
      </c>
      <c r="B184" s="87">
        <f>SUM('Egresos Reales'!B52)</f>
        <v>0</v>
      </c>
      <c r="C184" s="87">
        <f>SUM('Egresos Reales'!C52)</f>
        <v>0</v>
      </c>
      <c r="D184" s="87">
        <f>SUM('Egresos Reales'!D52)</f>
        <v>0</v>
      </c>
      <c r="E184" s="87">
        <f>SUM('Egresos Reales'!E52)</f>
        <v>0</v>
      </c>
      <c r="F184" s="87">
        <f>SUM('Egresos Reales'!F52)</f>
        <v>11.6</v>
      </c>
      <c r="G184" s="87">
        <f>SUM('Egresos Reales'!G52)</f>
        <v>0</v>
      </c>
      <c r="H184" s="87">
        <f>SUM('Egresos Reales'!H52)</f>
        <v>0</v>
      </c>
      <c r="I184" s="87">
        <f>SUM('Egresos Reales'!I52)</f>
        <v>0</v>
      </c>
      <c r="J184" s="87">
        <f>SUM('Egresos Reales'!J52)</f>
        <v>0</v>
      </c>
      <c r="K184" s="87">
        <f>SUM('Egresos Reales'!K52)</f>
        <v>0</v>
      </c>
      <c r="L184" s="87">
        <f>SUM('Egresos Reales'!L52)</f>
        <v>0</v>
      </c>
      <c r="M184" s="87">
        <f>SUM('Egresos Reales'!M52)</f>
        <v>0</v>
      </c>
      <c r="N184" s="87">
        <f t="shared" si="72"/>
        <v>11.6</v>
      </c>
    </row>
    <row r="185" spans="1:14">
      <c r="A185" s="59" t="s">
        <v>493</v>
      </c>
      <c r="B185" s="87">
        <f>SUM('Egresos Reales'!B53)</f>
        <v>0</v>
      </c>
      <c r="C185" s="87">
        <f>SUM('Egresos Reales'!C53)</f>
        <v>0</v>
      </c>
      <c r="D185" s="87">
        <f>SUM('Egresos Reales'!D53)</f>
        <v>0</v>
      </c>
      <c r="E185" s="87">
        <f>SUM('Egresos Reales'!E53)</f>
        <v>0</v>
      </c>
      <c r="F185" s="87">
        <f>SUM('Egresos Reales'!F53)</f>
        <v>0</v>
      </c>
      <c r="G185" s="87">
        <f>SUM('Egresos Reales'!G53)</f>
        <v>0</v>
      </c>
      <c r="H185" s="87">
        <f>SUM('Egresos Reales'!H53)</f>
        <v>0</v>
      </c>
      <c r="I185" s="87">
        <f>SUM('Egresos Reales'!I53)</f>
        <v>0</v>
      </c>
      <c r="J185" s="87">
        <f>SUM('Egresos Reales'!J53)</f>
        <v>0</v>
      </c>
      <c r="K185" s="87">
        <f>SUM('Egresos Reales'!K53)</f>
        <v>0</v>
      </c>
      <c r="L185" s="87">
        <f>SUM('Egresos Reales'!L53)</f>
        <v>0</v>
      </c>
      <c r="M185" s="87">
        <f>SUM('Egresos Reales'!M53)</f>
        <v>0</v>
      </c>
      <c r="N185" s="87">
        <f t="shared" si="72"/>
        <v>0</v>
      </c>
    </row>
    <row r="186" spans="1:14">
      <c r="A186" s="59" t="s">
        <v>494</v>
      </c>
      <c r="B186" s="87">
        <f>SUM('Egresos Reales'!B54)</f>
        <v>0</v>
      </c>
      <c r="C186" s="87">
        <f>SUM('Egresos Reales'!C54)</f>
        <v>0</v>
      </c>
      <c r="D186" s="87">
        <f>SUM('Egresos Reales'!D54)</f>
        <v>11.6</v>
      </c>
      <c r="E186" s="87">
        <f>SUM('Egresos Reales'!E54)</f>
        <v>933.8</v>
      </c>
      <c r="F186" s="87">
        <f>SUM('Egresos Reales'!F54)</f>
        <v>17.399999999999999</v>
      </c>
      <c r="G186" s="87">
        <f>SUM('Egresos Reales'!G54)</f>
        <v>11.6</v>
      </c>
      <c r="H186" s="87">
        <f>SUM('Egresos Reales'!H54)</f>
        <v>928</v>
      </c>
      <c r="I186" s="87">
        <f>SUM('Egresos Reales'!I54)</f>
        <v>-922.2</v>
      </c>
      <c r="J186" s="87">
        <f>SUM('Egresos Reales'!J54)</f>
        <v>0</v>
      </c>
      <c r="K186" s="87">
        <f>SUM('Egresos Reales'!K54)</f>
        <v>0</v>
      </c>
      <c r="L186" s="87">
        <f>SUM('Egresos Reales'!L54)</f>
        <v>0</v>
      </c>
      <c r="M186" s="87">
        <f>SUM('Egresos Reales'!M54)</f>
        <v>0</v>
      </c>
      <c r="N186" s="87">
        <f t="shared" si="72"/>
        <v>980.2</v>
      </c>
    </row>
    <row r="187" spans="1:14">
      <c r="A187" s="59" t="s">
        <v>586</v>
      </c>
      <c r="B187" s="87">
        <f>SUM('Egresos Reales'!B55)</f>
        <v>0</v>
      </c>
      <c r="C187" s="87">
        <f>SUM('Egresos Reales'!C55)</f>
        <v>0</v>
      </c>
      <c r="D187" s="87">
        <f>SUM('Egresos Reales'!D55)</f>
        <v>290</v>
      </c>
      <c r="E187" s="87">
        <f>SUM('Egresos Reales'!E55)</f>
        <v>290</v>
      </c>
      <c r="F187" s="87">
        <f>SUM('Egresos Reales'!F55)</f>
        <v>290</v>
      </c>
      <c r="G187" s="87">
        <f>SUM('Egresos Reales'!G55)</f>
        <v>290</v>
      </c>
      <c r="H187" s="87">
        <f>SUM('Egresos Reales'!H55)</f>
        <v>290</v>
      </c>
      <c r="I187" s="87">
        <f>SUM('Egresos Reales'!I55)</f>
        <v>290</v>
      </c>
      <c r="J187" s="87">
        <f>SUM('Egresos Reales'!J55)</f>
        <v>0</v>
      </c>
      <c r="K187" s="87">
        <f>SUM('Egresos Reales'!K55)</f>
        <v>0</v>
      </c>
      <c r="L187" s="87">
        <f>SUM('Egresos Reales'!L55)</f>
        <v>0</v>
      </c>
      <c r="M187" s="87">
        <f>SUM('Egresos Reales'!M55)</f>
        <v>0</v>
      </c>
      <c r="N187" s="87">
        <f t="shared" si="72"/>
        <v>1740</v>
      </c>
    </row>
    <row r="188" spans="1:14">
      <c r="A188" s="59" t="s">
        <v>1149</v>
      </c>
      <c r="B188" s="87">
        <f>SUM('Egresos Reales'!B56)</f>
        <v>0</v>
      </c>
      <c r="C188" s="87">
        <f>SUM('Egresos Reales'!C56)</f>
        <v>0</v>
      </c>
      <c r="D188" s="87">
        <f>SUM('Egresos Reales'!D56)</f>
        <v>0</v>
      </c>
      <c r="E188" s="87">
        <f>SUM('Egresos Reales'!E56)</f>
        <v>0</v>
      </c>
      <c r="F188" s="87">
        <f>SUM('Egresos Reales'!F56)</f>
        <v>0</v>
      </c>
      <c r="G188" s="87">
        <f>SUM('Egresos Reales'!G56)</f>
        <v>0</v>
      </c>
      <c r="H188" s="87">
        <f>SUM('Egresos Reales'!H56)</f>
        <v>0</v>
      </c>
      <c r="I188" s="87">
        <f>SUM('Egresos Reales'!I56)</f>
        <v>0</v>
      </c>
      <c r="J188" s="87">
        <f>SUM('Egresos Reales'!J56)</f>
        <v>0</v>
      </c>
      <c r="K188" s="87">
        <f>SUM('Egresos Reales'!K56)</f>
        <v>0</v>
      </c>
      <c r="L188" s="87">
        <f>SUM('Egresos Reales'!L56)</f>
        <v>0</v>
      </c>
      <c r="M188" s="87">
        <f>SUM('Egresos Reales'!M56)</f>
        <v>0</v>
      </c>
      <c r="N188" s="87">
        <f t="shared" ref="N188" si="73">SUM(B188:M188)</f>
        <v>0</v>
      </c>
    </row>
    <row r="189" spans="1:14">
      <c r="A189" s="59" t="s">
        <v>559</v>
      </c>
      <c r="B189" s="87">
        <f>SUM('Egresos Reales'!B57)</f>
        <v>0</v>
      </c>
      <c r="C189" s="87">
        <f>SUM('Egresos Reales'!C57)</f>
        <v>0</v>
      </c>
      <c r="D189" s="87">
        <f>SUM('Egresos Reales'!D57)</f>
        <v>0</v>
      </c>
      <c r="E189" s="87">
        <f>SUM('Egresos Reales'!E57)</f>
        <v>0</v>
      </c>
      <c r="F189" s="87">
        <f>SUM('Egresos Reales'!F57)</f>
        <v>122994.11</v>
      </c>
      <c r="G189" s="87">
        <f>SUM('Egresos Reales'!G57)</f>
        <v>0</v>
      </c>
      <c r="H189" s="87">
        <f>SUM('Egresos Reales'!H57)</f>
        <v>0</v>
      </c>
      <c r="I189" s="87">
        <f>SUM('Egresos Reales'!I57)</f>
        <v>0</v>
      </c>
      <c r="J189" s="87">
        <f>SUM('Egresos Reales'!J57)</f>
        <v>0</v>
      </c>
      <c r="K189" s="87">
        <f>SUM('Egresos Reales'!K57)</f>
        <v>0</v>
      </c>
      <c r="L189" s="87">
        <f>SUM('Egresos Reales'!L57)</f>
        <v>0</v>
      </c>
      <c r="M189" s="87">
        <f>SUM('Egresos Reales'!M57)</f>
        <v>0</v>
      </c>
      <c r="N189" s="87">
        <f t="shared" si="72"/>
        <v>122994.11</v>
      </c>
    </row>
    <row r="190" spans="1:14">
      <c r="A190" s="59" t="s">
        <v>556</v>
      </c>
      <c r="B190" s="87">
        <f>SUM('Egresos Reales'!B58)</f>
        <v>0</v>
      </c>
      <c r="C190" s="87">
        <f>SUM('Egresos Reales'!C58)</f>
        <v>0</v>
      </c>
      <c r="D190" s="87">
        <f>SUM('Egresos Reales'!D58)</f>
        <v>0</v>
      </c>
      <c r="E190" s="87">
        <f>SUM('Egresos Reales'!E58)</f>
        <v>0</v>
      </c>
      <c r="F190" s="87">
        <f>SUM('Egresos Reales'!F58)</f>
        <v>0</v>
      </c>
      <c r="G190" s="87">
        <f>SUM('Egresos Reales'!G58)</f>
        <v>0</v>
      </c>
      <c r="H190" s="87">
        <f>SUM('Egresos Reales'!H58)</f>
        <v>0</v>
      </c>
      <c r="I190" s="87">
        <f>SUM('Egresos Reales'!I58)</f>
        <v>0</v>
      </c>
      <c r="J190" s="87">
        <f>SUM('Egresos Reales'!J58)</f>
        <v>0</v>
      </c>
      <c r="K190" s="87">
        <f>SUM('Egresos Reales'!K58)</f>
        <v>0</v>
      </c>
      <c r="L190" s="87">
        <f>SUM('Egresos Reales'!L58)</f>
        <v>0</v>
      </c>
      <c r="M190" s="87">
        <f>SUM('Egresos Reales'!M58)</f>
        <v>0</v>
      </c>
      <c r="N190" s="87">
        <f t="shared" si="72"/>
        <v>0</v>
      </c>
    </row>
    <row r="191" spans="1:14">
      <c r="A191" s="59" t="s">
        <v>495</v>
      </c>
      <c r="B191" s="87">
        <f>SUM('Egresos Reales'!B59)</f>
        <v>0</v>
      </c>
      <c r="C191" s="87">
        <f>SUM('Egresos Reales'!C59)</f>
        <v>0</v>
      </c>
      <c r="D191" s="87">
        <f>SUM('Egresos Reales'!D59)</f>
        <v>0</v>
      </c>
      <c r="E191" s="87">
        <f>SUM('Egresos Reales'!E59)</f>
        <v>0</v>
      </c>
      <c r="F191" s="87">
        <f>SUM('Egresos Reales'!F59)</f>
        <v>0</v>
      </c>
      <c r="G191" s="87">
        <f>SUM('Egresos Reales'!G59)</f>
        <v>0</v>
      </c>
      <c r="H191" s="87">
        <f>SUM('Egresos Reales'!H59)</f>
        <v>0</v>
      </c>
      <c r="I191" s="87">
        <f>SUM('Egresos Reales'!I59)</f>
        <v>0</v>
      </c>
      <c r="J191" s="87">
        <f>SUM('Egresos Reales'!J59)</f>
        <v>0</v>
      </c>
      <c r="K191" s="87">
        <f>SUM('Egresos Reales'!K59)</f>
        <v>0</v>
      </c>
      <c r="L191" s="87">
        <f>SUM('Egresos Reales'!L59)</f>
        <v>0</v>
      </c>
      <c r="M191" s="87">
        <f>SUM('Egresos Reales'!M59)</f>
        <v>0</v>
      </c>
      <c r="N191" s="87">
        <f t="shared" si="72"/>
        <v>0</v>
      </c>
    </row>
    <row r="192" spans="1:14">
      <c r="A192" s="59" t="s">
        <v>496</v>
      </c>
      <c r="B192" s="87">
        <f>SUM('Egresos Reales'!B60)</f>
        <v>123774.11</v>
      </c>
      <c r="C192" s="87">
        <f>SUM('Egresos Reales'!C60)</f>
        <v>0</v>
      </c>
      <c r="D192" s="87">
        <f>SUM('Egresos Reales'!D60)</f>
        <v>570051.04</v>
      </c>
      <c r="E192" s="87">
        <f>SUM('Egresos Reales'!E60)</f>
        <v>786765.88</v>
      </c>
      <c r="F192" s="87">
        <f>SUM('Egresos Reales'!F60)</f>
        <v>786765.38</v>
      </c>
      <c r="G192" s="87">
        <f>SUM('Egresos Reales'!G60)</f>
        <v>481021.06</v>
      </c>
      <c r="H192" s="87">
        <f>SUM('Egresos Reales'!H60)</f>
        <v>78064.759999999995</v>
      </c>
      <c r="I192" s="87">
        <f>SUM('Egresos Reales'!I60)</f>
        <v>0</v>
      </c>
      <c r="J192" s="87">
        <f>SUM('Egresos Reales'!J60)</f>
        <v>268125.8</v>
      </c>
      <c r="K192" s="87">
        <f>SUM('Egresos Reales'!K60)</f>
        <v>20332.18</v>
      </c>
      <c r="L192" s="87">
        <f>SUM('Egresos Reales'!L60)</f>
        <v>0</v>
      </c>
      <c r="M192" s="87">
        <f>SUM('Egresos Reales'!M60)</f>
        <v>0</v>
      </c>
      <c r="N192" s="87">
        <f t="shared" si="72"/>
        <v>3114900.21</v>
      </c>
    </row>
    <row r="193" spans="1:14">
      <c r="A193" s="59" t="s">
        <v>587</v>
      </c>
      <c r="B193" s="87">
        <f>SUM('Egresos Reales'!B61)</f>
        <v>237588.56</v>
      </c>
      <c r="C193" s="87">
        <f>SUM('Egresos Reales'!C61)</f>
        <v>0</v>
      </c>
      <c r="D193" s="87">
        <f>SUM('Egresos Reales'!D61)</f>
        <v>0</v>
      </c>
      <c r="E193" s="87">
        <f>SUM('Egresos Reales'!E61)</f>
        <v>0</v>
      </c>
      <c r="F193" s="87">
        <f>SUM('Egresos Reales'!F61)</f>
        <v>0</v>
      </c>
      <c r="G193" s="87">
        <f>SUM('Egresos Reales'!G61)</f>
        <v>0</v>
      </c>
      <c r="H193" s="87">
        <f>SUM('Egresos Reales'!H61)</f>
        <v>0</v>
      </c>
      <c r="I193" s="87">
        <f>SUM('Egresos Reales'!I61)</f>
        <v>0</v>
      </c>
      <c r="J193" s="87">
        <f>SUM('Egresos Reales'!J61)</f>
        <v>0</v>
      </c>
      <c r="K193" s="87">
        <f>SUM('Egresos Reales'!K61)</f>
        <v>0</v>
      </c>
      <c r="L193" s="87">
        <f>SUM('Egresos Reales'!L61)</f>
        <v>0</v>
      </c>
      <c r="M193" s="87">
        <f>SUM('Egresos Reales'!M61)</f>
        <v>0</v>
      </c>
      <c r="N193" s="87">
        <f t="shared" si="72"/>
        <v>237588.56</v>
      </c>
    </row>
    <row r="194" spans="1:14">
      <c r="A194" s="59" t="s">
        <v>1150</v>
      </c>
      <c r="B194" s="87">
        <f>SUM('Egresos Reales'!B62)</f>
        <v>0</v>
      </c>
      <c r="C194" s="87">
        <f>SUM('Egresos Reales'!C62)</f>
        <v>0</v>
      </c>
      <c r="D194" s="87">
        <f>SUM('Egresos Reales'!D62)</f>
        <v>0</v>
      </c>
      <c r="E194" s="87">
        <f>SUM('Egresos Reales'!E62)</f>
        <v>3750566.83</v>
      </c>
      <c r="F194" s="87">
        <f>SUM('Egresos Reales'!F62)</f>
        <v>1749858.38</v>
      </c>
      <c r="G194" s="87">
        <f>SUM('Egresos Reales'!G62)</f>
        <v>578218.18000000005</v>
      </c>
      <c r="H194" s="87">
        <f>SUM('Egresos Reales'!H62)</f>
        <v>0</v>
      </c>
      <c r="I194" s="87">
        <f>SUM('Egresos Reales'!I62)</f>
        <v>0</v>
      </c>
      <c r="J194" s="87">
        <f>SUM('Egresos Reales'!J62)</f>
        <v>0</v>
      </c>
      <c r="K194" s="87">
        <f>SUM('Egresos Reales'!K62)</f>
        <v>1497499.58</v>
      </c>
      <c r="L194" s="87">
        <f>SUM('Egresos Reales'!L62)</f>
        <v>0</v>
      </c>
      <c r="M194" s="87">
        <f>SUM('Egresos Reales'!M62)</f>
        <v>1468923.98</v>
      </c>
      <c r="N194" s="87">
        <f t="shared" ref="N194" si="74">SUM(B194:M194)</f>
        <v>9045066.9499999993</v>
      </c>
    </row>
    <row r="195" spans="1:14">
      <c r="A195" s="75" t="s">
        <v>329</v>
      </c>
      <c r="B195" s="575">
        <f>SUM(B182:B194)</f>
        <v>361362.67</v>
      </c>
      <c r="C195" s="575">
        <f t="shared" ref="C195:N195" si="75">SUM(C182:C194)</f>
        <v>0</v>
      </c>
      <c r="D195" s="575">
        <f t="shared" si="75"/>
        <v>570352.64000000001</v>
      </c>
      <c r="E195" s="575">
        <f t="shared" si="75"/>
        <v>4538556.51</v>
      </c>
      <c r="F195" s="575">
        <f t="shared" si="75"/>
        <v>2659936.87</v>
      </c>
      <c r="G195" s="575">
        <f t="shared" si="75"/>
        <v>1059540.8400000001</v>
      </c>
      <c r="H195" s="575">
        <f t="shared" ref="H195" si="76">SUM(H182:H194)</f>
        <v>79282.759999999995</v>
      </c>
      <c r="I195" s="575">
        <f t="shared" si="75"/>
        <v>-632.20000000000005</v>
      </c>
      <c r="J195" s="575">
        <f t="shared" ref="J195" si="77">SUM(J182:J194)</f>
        <v>268125.8</v>
      </c>
      <c r="K195" s="575">
        <f t="shared" si="75"/>
        <v>1517831.76</v>
      </c>
      <c r="L195" s="575">
        <f t="shared" si="75"/>
        <v>0</v>
      </c>
      <c r="M195" s="575">
        <f t="shared" si="75"/>
        <v>1468923.98</v>
      </c>
      <c r="N195" s="575">
        <f t="shared" si="75"/>
        <v>12523281.629999999</v>
      </c>
    </row>
    <row r="196" spans="1:14">
      <c r="A196" s="89"/>
      <c r="B196" s="576"/>
      <c r="C196" s="576"/>
      <c r="D196" s="576"/>
      <c r="E196" s="576"/>
      <c r="F196" s="576"/>
      <c r="G196" s="576"/>
      <c r="H196" s="576"/>
      <c r="I196" s="576"/>
      <c r="J196" s="576"/>
      <c r="K196" s="576"/>
      <c r="L196" s="576"/>
      <c r="M196" s="576"/>
      <c r="N196" s="576"/>
    </row>
    <row r="197" spans="1:14">
      <c r="A197" s="95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</row>
    <row r="198" spans="1:14">
      <c r="A198" s="86" t="s">
        <v>127</v>
      </c>
      <c r="B198" s="578"/>
      <c r="C198" s="392"/>
      <c r="D198" s="392"/>
      <c r="E198" s="392"/>
      <c r="F198" s="392"/>
      <c r="G198" s="392"/>
      <c r="H198" s="392"/>
      <c r="I198" s="392"/>
      <c r="J198" s="392"/>
      <c r="K198" s="392"/>
      <c r="L198" s="392"/>
      <c r="M198" s="392"/>
      <c r="N198" s="392"/>
    </row>
    <row r="199" spans="1:14">
      <c r="A199" s="59" t="s">
        <v>361</v>
      </c>
      <c r="B199" s="579">
        <f>SUM('Egresos Reales'!B64)</f>
        <v>6473750.21</v>
      </c>
      <c r="C199" s="87">
        <f>SUM('Egresos Reales'!C64)</f>
        <v>5220257</v>
      </c>
      <c r="D199" s="87">
        <f>SUM('Egresos Reales'!D64)</f>
        <v>6267043.96</v>
      </c>
      <c r="E199" s="87">
        <f>SUM('Egresos Reales'!E64)</f>
        <v>6491618</v>
      </c>
      <c r="F199" s="87">
        <f>SUM('Egresos Reales'!F64)</f>
        <v>6992048.7000000002</v>
      </c>
      <c r="G199" s="87">
        <f>SUM('Egresos Reales'!G64)</f>
        <v>6309957.5999999996</v>
      </c>
      <c r="H199" s="87">
        <f>SUM('Egresos Reales'!H64)</f>
        <v>7169282.0499999998</v>
      </c>
      <c r="I199" s="87">
        <f>SUM('Egresos Reales'!I64)</f>
        <v>6985421</v>
      </c>
      <c r="J199" s="87">
        <f>SUM('Egresos Reales'!J64)</f>
        <v>6996092.2599999998</v>
      </c>
      <c r="K199" s="87">
        <f>SUM('Egresos Reales'!K64)</f>
        <v>6147753</v>
      </c>
      <c r="L199" s="87">
        <f>SUM('Egresos Reales'!L64)</f>
        <v>6113331.8899999997</v>
      </c>
      <c r="M199" s="87">
        <f>SUM('Egresos Reales'!M64)</f>
        <v>13380769</v>
      </c>
      <c r="N199" s="87">
        <f t="shared" ref="N199:N231" si="78">SUM(B199:M199)</f>
        <v>84547324.669999987</v>
      </c>
    </row>
    <row r="200" spans="1:14">
      <c r="A200" s="59" t="s">
        <v>516</v>
      </c>
      <c r="B200" s="579">
        <f>SUM('Egresos Reales'!B65)</f>
        <v>0</v>
      </c>
      <c r="C200" s="87">
        <f>SUM('Egresos Reales'!C65)</f>
        <v>0</v>
      </c>
      <c r="D200" s="87">
        <f>SUM('Egresos Reales'!D65)</f>
        <v>0</v>
      </c>
      <c r="E200" s="87">
        <f>SUM('Egresos Reales'!E65)</f>
        <v>0</v>
      </c>
      <c r="F200" s="87">
        <f>SUM('Egresos Reales'!F65)</f>
        <v>0</v>
      </c>
      <c r="G200" s="87">
        <f>SUM('Egresos Reales'!G65)</f>
        <v>75310.399999999994</v>
      </c>
      <c r="H200" s="87">
        <f>SUM('Egresos Reales'!H65)</f>
        <v>0</v>
      </c>
      <c r="I200" s="87">
        <f>SUM('Egresos Reales'!I65)</f>
        <v>0</v>
      </c>
      <c r="J200" s="87">
        <f>SUM('Egresos Reales'!J65)</f>
        <v>145589</v>
      </c>
      <c r="K200" s="87">
        <f>SUM('Egresos Reales'!K65)</f>
        <v>0</v>
      </c>
      <c r="L200" s="87">
        <f>SUM('Egresos Reales'!L65)</f>
        <v>108012</v>
      </c>
      <c r="M200" s="87">
        <f>SUM('Egresos Reales'!M65)</f>
        <v>228362</v>
      </c>
      <c r="N200" s="87">
        <f t="shared" si="78"/>
        <v>557273.4</v>
      </c>
    </row>
    <row r="201" spans="1:14">
      <c r="A201" s="59" t="s">
        <v>507</v>
      </c>
      <c r="B201" s="579">
        <f>SUM('Egresos Reales'!B66)</f>
        <v>0</v>
      </c>
      <c r="C201" s="87">
        <f>SUM('Egresos Reales'!C66)</f>
        <v>0</v>
      </c>
      <c r="D201" s="87">
        <f>SUM('Egresos Reales'!D66)</f>
        <v>0</v>
      </c>
      <c r="E201" s="87">
        <f>SUM('Egresos Reales'!E66)</f>
        <v>0</v>
      </c>
      <c r="F201" s="87">
        <f>SUM('Egresos Reales'!F66)</f>
        <v>0</v>
      </c>
      <c r="G201" s="87">
        <f>SUM('Egresos Reales'!G66)</f>
        <v>0</v>
      </c>
      <c r="H201" s="87">
        <f>SUM('Egresos Reales'!H66)</f>
        <v>0</v>
      </c>
      <c r="I201" s="87">
        <f>SUM('Egresos Reales'!I66)</f>
        <v>0</v>
      </c>
      <c r="J201" s="87">
        <f>SUM('Egresos Reales'!J66)</f>
        <v>0</v>
      </c>
      <c r="K201" s="87">
        <f>SUM('Egresos Reales'!K66)</f>
        <v>0</v>
      </c>
      <c r="L201" s="87">
        <f>SUM('Egresos Reales'!L66)</f>
        <v>0</v>
      </c>
      <c r="M201" s="87">
        <f>SUM('Egresos Reales'!M66)</f>
        <v>0</v>
      </c>
      <c r="N201" s="87">
        <f t="shared" si="78"/>
        <v>0</v>
      </c>
    </row>
    <row r="202" spans="1:14">
      <c r="A202" s="59" t="s">
        <v>508</v>
      </c>
      <c r="B202" s="579">
        <f>SUM('Egresos Reales'!B67)</f>
        <v>0</v>
      </c>
      <c r="C202" s="87">
        <f>SUM('Egresos Reales'!C67)</f>
        <v>0</v>
      </c>
      <c r="D202" s="87">
        <f>SUM('Egresos Reales'!D67)</f>
        <v>0</v>
      </c>
      <c r="E202" s="87">
        <f>SUM('Egresos Reales'!E67)</f>
        <v>0</v>
      </c>
      <c r="F202" s="87">
        <f>SUM('Egresos Reales'!F67)</f>
        <v>0</v>
      </c>
      <c r="G202" s="87">
        <f>SUM('Egresos Reales'!G67)</f>
        <v>0</v>
      </c>
      <c r="H202" s="87">
        <f>SUM('Egresos Reales'!H67)</f>
        <v>0</v>
      </c>
      <c r="I202" s="87">
        <f>SUM('Egresos Reales'!I67)</f>
        <v>0</v>
      </c>
      <c r="J202" s="87">
        <f>SUM('Egresos Reales'!J67)</f>
        <v>0</v>
      </c>
      <c r="K202" s="87">
        <f>SUM('Egresos Reales'!K67)</f>
        <v>0</v>
      </c>
      <c r="L202" s="87">
        <f>SUM('Egresos Reales'!L67)</f>
        <v>0</v>
      </c>
      <c r="M202" s="87">
        <f>SUM('Egresos Reales'!M67)</f>
        <v>0</v>
      </c>
      <c r="N202" s="87">
        <f t="shared" si="78"/>
        <v>0</v>
      </c>
    </row>
    <row r="203" spans="1:14">
      <c r="A203" s="59" t="s">
        <v>588</v>
      </c>
      <c r="B203" s="579">
        <f>SUM('Egresos Reales'!B68)</f>
        <v>0</v>
      </c>
      <c r="C203" s="87">
        <f>SUM('Egresos Reales'!C68)</f>
        <v>885776</v>
      </c>
      <c r="D203" s="87">
        <f>SUM('Egresos Reales'!D68)</f>
        <v>160080</v>
      </c>
      <c r="E203" s="87">
        <f>SUM('Egresos Reales'!E68)</f>
        <v>0</v>
      </c>
      <c r="F203" s="87">
        <f>SUM('Egresos Reales'!F68)</f>
        <v>0</v>
      </c>
      <c r="G203" s="87">
        <f>SUM('Egresos Reales'!G68)</f>
        <v>0</v>
      </c>
      <c r="H203" s="87">
        <f>SUM('Egresos Reales'!H68)</f>
        <v>1140001.6000000001</v>
      </c>
      <c r="I203" s="87">
        <f>SUM('Egresos Reales'!I68)</f>
        <v>0</v>
      </c>
      <c r="J203" s="87">
        <f>SUM('Egresos Reales'!J68)</f>
        <v>0</v>
      </c>
      <c r="K203" s="87">
        <f>SUM('Egresos Reales'!K68)</f>
        <v>928580</v>
      </c>
      <c r="L203" s="87">
        <f>SUM('Egresos Reales'!L68)</f>
        <v>0</v>
      </c>
      <c r="M203" s="87">
        <f>SUM('Egresos Reales'!M68)</f>
        <v>0</v>
      </c>
      <c r="N203" s="87">
        <f t="shared" si="78"/>
        <v>3114437.6</v>
      </c>
    </row>
    <row r="204" spans="1:14">
      <c r="A204" s="59" t="s">
        <v>1153</v>
      </c>
      <c r="B204" s="579">
        <f>SUM('Egresos Reales'!B69)</f>
        <v>0</v>
      </c>
      <c r="C204" s="87">
        <f>SUM('Egresos Reales'!C69)</f>
        <v>0</v>
      </c>
      <c r="D204" s="87">
        <f>SUM('Egresos Reales'!D69)</f>
        <v>34800</v>
      </c>
      <c r="E204" s="87">
        <f>SUM('Egresos Reales'!E69)</f>
        <v>823548.46</v>
      </c>
      <c r="F204" s="87">
        <f>SUM('Egresos Reales'!F69)</f>
        <v>886437.13</v>
      </c>
      <c r="G204" s="87">
        <f>SUM('Egresos Reales'!G69)</f>
        <v>397694.4</v>
      </c>
      <c r="H204" s="87">
        <f>SUM('Egresos Reales'!H69)</f>
        <v>792477.13</v>
      </c>
      <c r="I204" s="87">
        <f>SUM('Egresos Reales'!I69)</f>
        <v>93960</v>
      </c>
      <c r="J204" s="87">
        <f>SUM('Egresos Reales'!J69)</f>
        <v>187920</v>
      </c>
      <c r="K204" s="87">
        <f>SUM('Egresos Reales'!K69)</f>
        <v>1388520</v>
      </c>
      <c r="L204" s="87">
        <f>SUM('Egresos Reales'!L69)</f>
        <v>971349.13</v>
      </c>
      <c r="M204" s="87">
        <f>SUM('Egresos Reales'!M69)</f>
        <v>1142832</v>
      </c>
      <c r="N204" s="87">
        <f t="shared" ref="N204" si="79">SUM(B204:M204)</f>
        <v>6719538.2499999991</v>
      </c>
    </row>
    <row r="205" spans="1:14">
      <c r="A205" s="59" t="s">
        <v>509</v>
      </c>
      <c r="B205" s="579">
        <f>SUM('Egresos Reales'!B70)</f>
        <v>0</v>
      </c>
      <c r="C205" s="87">
        <f>SUM('Egresos Reales'!C70)</f>
        <v>0</v>
      </c>
      <c r="D205" s="87">
        <f>SUM('Egresos Reales'!D70)</f>
        <v>0</v>
      </c>
      <c r="E205" s="87">
        <f>SUM('Egresos Reales'!E70)</f>
        <v>0</v>
      </c>
      <c r="F205" s="87">
        <f>SUM('Egresos Reales'!F70)</f>
        <v>0</v>
      </c>
      <c r="G205" s="87">
        <f>SUM('Egresos Reales'!G70)</f>
        <v>0</v>
      </c>
      <c r="H205" s="87">
        <f>SUM('Egresos Reales'!H70)</f>
        <v>0</v>
      </c>
      <c r="I205" s="87">
        <f>SUM('Egresos Reales'!I70)</f>
        <v>0</v>
      </c>
      <c r="J205" s="87">
        <f>SUM('Egresos Reales'!J70)</f>
        <v>0</v>
      </c>
      <c r="K205" s="87">
        <f>SUM('Egresos Reales'!K70)</f>
        <v>0</v>
      </c>
      <c r="L205" s="87">
        <f>SUM('Egresos Reales'!L70)</f>
        <v>0</v>
      </c>
      <c r="M205" s="87">
        <f>SUM('Egresos Reales'!M70)</f>
        <v>0</v>
      </c>
      <c r="N205" s="87">
        <f t="shared" si="78"/>
        <v>0</v>
      </c>
    </row>
    <row r="206" spans="1:14">
      <c r="A206" s="59" t="s">
        <v>510</v>
      </c>
      <c r="B206" s="579">
        <f>SUM('Egresos Reales'!B71)</f>
        <v>0</v>
      </c>
      <c r="C206" s="87">
        <f>SUM('Egresos Reales'!C71)</f>
        <v>0</v>
      </c>
      <c r="D206" s="87">
        <f>SUM('Egresos Reales'!D71)</f>
        <v>0</v>
      </c>
      <c r="E206" s="87">
        <f>SUM('Egresos Reales'!E71)</f>
        <v>0</v>
      </c>
      <c r="F206" s="87">
        <f>SUM('Egresos Reales'!F71)</f>
        <v>0</v>
      </c>
      <c r="G206" s="87">
        <f>SUM('Egresos Reales'!G71)</f>
        <v>0</v>
      </c>
      <c r="H206" s="87">
        <f>SUM('Egresos Reales'!H71)</f>
        <v>0</v>
      </c>
      <c r="I206" s="87">
        <f>SUM('Egresos Reales'!I71)</f>
        <v>0</v>
      </c>
      <c r="J206" s="87">
        <f>SUM('Egresos Reales'!J71)</f>
        <v>0</v>
      </c>
      <c r="K206" s="87">
        <f>SUM('Egresos Reales'!K71)</f>
        <v>0</v>
      </c>
      <c r="L206" s="87">
        <f>SUM('Egresos Reales'!L71)</f>
        <v>0</v>
      </c>
      <c r="M206" s="87">
        <f>SUM('Egresos Reales'!M71)</f>
        <v>0</v>
      </c>
      <c r="N206" s="87">
        <f t="shared" si="78"/>
        <v>0</v>
      </c>
    </row>
    <row r="207" spans="1:14">
      <c r="A207" s="59" t="s">
        <v>589</v>
      </c>
      <c r="B207" s="579">
        <f>SUM('Egresos Reales'!B72)</f>
        <v>0</v>
      </c>
      <c r="C207" s="87">
        <f>SUM('Egresos Reales'!C72)</f>
        <v>0</v>
      </c>
      <c r="D207" s="87">
        <f>SUM('Egresos Reales'!D72)</f>
        <v>0</v>
      </c>
      <c r="E207" s="87">
        <f>SUM('Egresos Reales'!E72)</f>
        <v>0</v>
      </c>
      <c r="F207" s="87">
        <f>SUM('Egresos Reales'!F72)</f>
        <v>0</v>
      </c>
      <c r="G207" s="87">
        <f>SUM('Egresos Reales'!G72)</f>
        <v>0</v>
      </c>
      <c r="H207" s="87">
        <f>SUM('Egresos Reales'!H72)</f>
        <v>0</v>
      </c>
      <c r="I207" s="87">
        <f>SUM('Egresos Reales'!I72)</f>
        <v>0</v>
      </c>
      <c r="J207" s="87">
        <f>SUM('Egresos Reales'!J72)</f>
        <v>0</v>
      </c>
      <c r="K207" s="87">
        <f>SUM('Egresos Reales'!K72)</f>
        <v>0</v>
      </c>
      <c r="L207" s="87">
        <f>SUM('Egresos Reales'!L72)</f>
        <v>0</v>
      </c>
      <c r="M207" s="87">
        <f>SUM('Egresos Reales'!M72)</f>
        <v>0</v>
      </c>
      <c r="N207" s="87">
        <f t="shared" si="78"/>
        <v>0</v>
      </c>
    </row>
    <row r="208" spans="1:14">
      <c r="A208" s="59" t="s">
        <v>1154</v>
      </c>
      <c r="B208" s="579">
        <f>SUM('Egresos Reales'!B73)</f>
        <v>0</v>
      </c>
      <c r="C208" s="87">
        <f>SUM('Egresos Reales'!C73)</f>
        <v>240000</v>
      </c>
      <c r="D208" s="87">
        <f>SUM('Egresos Reales'!D73)</f>
        <v>120000</v>
      </c>
      <c r="E208" s="87">
        <f>SUM('Egresos Reales'!E73)</f>
        <v>120000</v>
      </c>
      <c r="F208" s="87">
        <f>SUM('Egresos Reales'!F73)</f>
        <v>120000</v>
      </c>
      <c r="G208" s="87">
        <f>SUM('Egresos Reales'!G73)</f>
        <v>120000</v>
      </c>
      <c r="H208" s="87">
        <f>SUM('Egresos Reales'!H73)</f>
        <v>120000</v>
      </c>
      <c r="I208" s="87">
        <f>SUM('Egresos Reales'!I73)</f>
        <v>120000</v>
      </c>
      <c r="J208" s="87">
        <f>SUM('Egresos Reales'!J73)</f>
        <v>120000</v>
      </c>
      <c r="K208" s="87">
        <f>SUM('Egresos Reales'!K73)</f>
        <v>120000</v>
      </c>
      <c r="L208" s="87">
        <f>SUM('Egresos Reales'!L73)</f>
        <v>120000</v>
      </c>
      <c r="M208" s="87">
        <f>SUM('Egresos Reales'!M73)</f>
        <v>120000</v>
      </c>
      <c r="N208" s="87">
        <f t="shared" ref="N208" si="80">SUM(B208:M208)</f>
        <v>1440000</v>
      </c>
    </row>
    <row r="209" spans="1:14">
      <c r="A209" s="59" t="s">
        <v>511</v>
      </c>
      <c r="B209" s="579">
        <f>SUM('Egresos Reales'!B74)</f>
        <v>0</v>
      </c>
      <c r="C209" s="87">
        <f>SUM('Egresos Reales'!C74)</f>
        <v>0</v>
      </c>
      <c r="D209" s="87">
        <f>SUM('Egresos Reales'!D74)</f>
        <v>0</v>
      </c>
      <c r="E209" s="87">
        <f>SUM('Egresos Reales'!E74)</f>
        <v>0</v>
      </c>
      <c r="F209" s="87">
        <f>SUM('Egresos Reales'!F74)</f>
        <v>0</v>
      </c>
      <c r="G209" s="87">
        <f>SUM('Egresos Reales'!G74)</f>
        <v>0</v>
      </c>
      <c r="H209" s="87">
        <f>SUM('Egresos Reales'!H74)</f>
        <v>0</v>
      </c>
      <c r="I209" s="87">
        <f>SUM('Egresos Reales'!I74)</f>
        <v>0</v>
      </c>
      <c r="J209" s="87">
        <f>SUM('Egresos Reales'!J74)</f>
        <v>0</v>
      </c>
      <c r="K209" s="87">
        <f>SUM('Egresos Reales'!K74)</f>
        <v>0</v>
      </c>
      <c r="L209" s="87">
        <f>SUM('Egresos Reales'!L74)</f>
        <v>0</v>
      </c>
      <c r="M209" s="87">
        <f>SUM('Egresos Reales'!M74)</f>
        <v>0</v>
      </c>
      <c r="N209" s="87">
        <f t="shared" si="78"/>
        <v>0</v>
      </c>
    </row>
    <row r="210" spans="1:14">
      <c r="A210" s="59" t="s">
        <v>512</v>
      </c>
      <c r="B210" s="579">
        <f>SUM('Egresos Reales'!B75)</f>
        <v>0</v>
      </c>
      <c r="C210" s="87">
        <f>SUM('Egresos Reales'!C75)</f>
        <v>0</v>
      </c>
      <c r="D210" s="87">
        <f>SUM('Egresos Reales'!D75)</f>
        <v>0</v>
      </c>
      <c r="E210" s="87">
        <f>SUM('Egresos Reales'!E75)</f>
        <v>0</v>
      </c>
      <c r="F210" s="87">
        <f>SUM('Egresos Reales'!F75)</f>
        <v>0</v>
      </c>
      <c r="G210" s="87">
        <f>SUM('Egresos Reales'!G75)</f>
        <v>0</v>
      </c>
      <c r="H210" s="87">
        <f>SUM('Egresos Reales'!H75)</f>
        <v>0</v>
      </c>
      <c r="I210" s="87">
        <f>SUM('Egresos Reales'!I75)</f>
        <v>0</v>
      </c>
      <c r="J210" s="87">
        <f>SUM('Egresos Reales'!J75)</f>
        <v>0</v>
      </c>
      <c r="K210" s="87">
        <f>SUM('Egresos Reales'!K75)</f>
        <v>0</v>
      </c>
      <c r="L210" s="87">
        <f>SUM('Egresos Reales'!L75)</f>
        <v>0</v>
      </c>
      <c r="M210" s="87">
        <f>SUM('Egresos Reales'!M75)</f>
        <v>0</v>
      </c>
      <c r="N210" s="87">
        <f t="shared" si="78"/>
        <v>0</v>
      </c>
    </row>
    <row r="211" spans="1:14">
      <c r="A211" s="59" t="s">
        <v>590</v>
      </c>
      <c r="B211" s="579">
        <f>SUM('Egresos Reales'!B76)</f>
        <v>479120.23</v>
      </c>
      <c r="C211" s="87">
        <f>SUM('Egresos Reales'!C76)</f>
        <v>233820.96</v>
      </c>
      <c r="D211" s="87">
        <f>SUM('Egresos Reales'!D76)</f>
        <v>73990.600000000006</v>
      </c>
      <c r="E211" s="87">
        <f>SUM('Egresos Reales'!E76)</f>
        <v>0</v>
      </c>
      <c r="F211" s="87">
        <f>SUM('Egresos Reales'!F76)</f>
        <v>93804.24</v>
      </c>
      <c r="G211" s="87">
        <f>SUM('Egresos Reales'!G76)</f>
        <v>5858</v>
      </c>
      <c r="H211" s="87">
        <f>SUM('Egresos Reales'!H76)</f>
        <v>452.4</v>
      </c>
      <c r="I211" s="87">
        <f>SUM('Egresos Reales'!I76)</f>
        <v>0</v>
      </c>
      <c r="J211" s="87">
        <f>SUM('Egresos Reales'!J76)</f>
        <v>0</v>
      </c>
      <c r="K211" s="87">
        <f>SUM('Egresos Reales'!K76)</f>
        <v>0</v>
      </c>
      <c r="L211" s="87">
        <f>SUM('Egresos Reales'!L76)</f>
        <v>0</v>
      </c>
      <c r="M211" s="87">
        <f>SUM('Egresos Reales'!M76)</f>
        <v>0</v>
      </c>
      <c r="N211" s="87">
        <f t="shared" si="78"/>
        <v>887046.42999999993</v>
      </c>
    </row>
    <row r="212" spans="1:14">
      <c r="A212" s="59" t="s">
        <v>1155</v>
      </c>
      <c r="B212" s="579">
        <f>SUM('Egresos Reales'!B77)</f>
        <v>0</v>
      </c>
      <c r="C212" s="87">
        <f>SUM('Egresos Reales'!C77)</f>
        <v>958417.72</v>
      </c>
      <c r="D212" s="87">
        <f>SUM('Egresos Reales'!D77)</f>
        <v>0</v>
      </c>
      <c r="E212" s="87">
        <f>SUM('Egresos Reales'!E77)</f>
        <v>341224.78</v>
      </c>
      <c r="F212" s="87">
        <f>SUM('Egresos Reales'!F77)</f>
        <v>296827.18</v>
      </c>
      <c r="G212" s="87">
        <f>SUM('Egresos Reales'!G77)</f>
        <v>582293.31999999995</v>
      </c>
      <c r="H212" s="87">
        <f>SUM('Egresos Reales'!H77)</f>
        <v>1347720.11</v>
      </c>
      <c r="I212" s="87">
        <f>SUM('Egresos Reales'!I77)</f>
        <v>354951.85</v>
      </c>
      <c r="J212" s="87">
        <f>SUM('Egresos Reales'!J77)</f>
        <v>377564.92</v>
      </c>
      <c r="K212" s="87">
        <f>SUM('Egresos Reales'!K77)</f>
        <v>222865.23</v>
      </c>
      <c r="L212" s="87">
        <f>SUM('Egresos Reales'!L77)</f>
        <v>418725.34</v>
      </c>
      <c r="M212" s="87">
        <f>SUM('Egresos Reales'!M77)</f>
        <v>397364.41</v>
      </c>
      <c r="N212" s="87">
        <f t="shared" ref="N212" si="81">SUM(B212:M212)</f>
        <v>5297954.8600000013</v>
      </c>
    </row>
    <row r="213" spans="1:14">
      <c r="A213" s="59" t="s">
        <v>495</v>
      </c>
      <c r="B213" s="579">
        <f>SUM('Egresos Reales'!B78)</f>
        <v>0</v>
      </c>
      <c r="C213" s="87">
        <f>SUM('Egresos Reales'!C78)</f>
        <v>0</v>
      </c>
      <c r="D213" s="87">
        <f>SUM('Egresos Reales'!D78)</f>
        <v>0</v>
      </c>
      <c r="E213" s="87">
        <f>SUM('Egresos Reales'!E78)</f>
        <v>0</v>
      </c>
      <c r="F213" s="87">
        <f>SUM('Egresos Reales'!F78)</f>
        <v>0</v>
      </c>
      <c r="G213" s="87">
        <f>SUM('Egresos Reales'!G78)</f>
        <v>0</v>
      </c>
      <c r="H213" s="87">
        <f>SUM('Egresos Reales'!H78)</f>
        <v>0</v>
      </c>
      <c r="I213" s="87">
        <f>SUM('Egresos Reales'!I78)</f>
        <v>0</v>
      </c>
      <c r="J213" s="87">
        <f>SUM('Egresos Reales'!J78)</f>
        <v>0</v>
      </c>
      <c r="K213" s="87">
        <f>SUM('Egresos Reales'!K78)</f>
        <v>0</v>
      </c>
      <c r="L213" s="87">
        <f>SUM('Egresos Reales'!L78)</f>
        <v>0</v>
      </c>
      <c r="M213" s="87">
        <f>SUM('Egresos Reales'!M78)</f>
        <v>0</v>
      </c>
      <c r="N213" s="87">
        <f t="shared" si="78"/>
        <v>0</v>
      </c>
    </row>
    <row r="214" spans="1:14">
      <c r="A214" s="59" t="s">
        <v>496</v>
      </c>
      <c r="B214" s="579">
        <f>SUM('Egresos Reales'!B79)</f>
        <v>0</v>
      </c>
      <c r="C214" s="87">
        <f>SUM('Egresos Reales'!C79)</f>
        <v>0</v>
      </c>
      <c r="D214" s="87">
        <f>SUM('Egresos Reales'!D79)</f>
        <v>0</v>
      </c>
      <c r="E214" s="87">
        <f>SUM('Egresos Reales'!E79)</f>
        <v>0</v>
      </c>
      <c r="F214" s="87">
        <f>SUM('Egresos Reales'!F79)</f>
        <v>0</v>
      </c>
      <c r="G214" s="87">
        <f>SUM('Egresos Reales'!G79)</f>
        <v>0</v>
      </c>
      <c r="H214" s="87">
        <f>SUM('Egresos Reales'!H79)</f>
        <v>0</v>
      </c>
      <c r="I214" s="87">
        <f>SUM('Egresos Reales'!I79)</f>
        <v>0</v>
      </c>
      <c r="J214" s="87">
        <f>SUM('Egresos Reales'!J79)</f>
        <v>0</v>
      </c>
      <c r="K214" s="87">
        <f>SUM('Egresos Reales'!K79)</f>
        <v>0</v>
      </c>
      <c r="L214" s="87">
        <f>SUM('Egresos Reales'!L79)</f>
        <v>0</v>
      </c>
      <c r="M214" s="87">
        <f>SUM('Egresos Reales'!M79)</f>
        <v>0</v>
      </c>
      <c r="N214" s="87">
        <f t="shared" si="78"/>
        <v>0</v>
      </c>
    </row>
    <row r="215" spans="1:14">
      <c r="A215" s="59" t="s">
        <v>587</v>
      </c>
      <c r="B215" s="579">
        <f>SUM('Egresos Reales'!B80)</f>
        <v>0</v>
      </c>
      <c r="C215" s="87">
        <f>SUM('Egresos Reales'!C80)</f>
        <v>0</v>
      </c>
      <c r="D215" s="87">
        <f>SUM('Egresos Reales'!D80)</f>
        <v>0</v>
      </c>
      <c r="E215" s="87">
        <f>SUM('Egresos Reales'!E80)</f>
        <v>0</v>
      </c>
      <c r="F215" s="87">
        <f>SUM('Egresos Reales'!F80)</f>
        <v>0</v>
      </c>
      <c r="G215" s="87">
        <f>SUM('Egresos Reales'!G80)</f>
        <v>0</v>
      </c>
      <c r="H215" s="87">
        <f>SUM('Egresos Reales'!H80)</f>
        <v>0</v>
      </c>
      <c r="I215" s="87">
        <f>SUM('Egresos Reales'!I80)</f>
        <v>0</v>
      </c>
      <c r="J215" s="87">
        <f>SUM('Egresos Reales'!J80)</f>
        <v>0</v>
      </c>
      <c r="K215" s="87">
        <f>SUM('Egresos Reales'!K80)</f>
        <v>0</v>
      </c>
      <c r="L215" s="87">
        <f>SUM('Egresos Reales'!L80)</f>
        <v>0</v>
      </c>
      <c r="M215" s="87">
        <f>SUM('Egresos Reales'!M80)</f>
        <v>0</v>
      </c>
      <c r="N215" s="87">
        <f t="shared" si="78"/>
        <v>0</v>
      </c>
    </row>
    <row r="216" spans="1:14">
      <c r="A216" s="59" t="s">
        <v>513</v>
      </c>
      <c r="B216" s="579">
        <f>SUM('Egresos Reales'!B81)</f>
        <v>0</v>
      </c>
      <c r="C216" s="87">
        <f>SUM('Egresos Reales'!C81)</f>
        <v>0</v>
      </c>
      <c r="D216" s="87">
        <f>SUM('Egresos Reales'!D81)</f>
        <v>0</v>
      </c>
      <c r="E216" s="87">
        <f>SUM('Egresos Reales'!E81)</f>
        <v>0</v>
      </c>
      <c r="F216" s="87">
        <f>SUM('Egresos Reales'!F81)</f>
        <v>0</v>
      </c>
      <c r="G216" s="87">
        <f>SUM('Egresos Reales'!G81)</f>
        <v>0</v>
      </c>
      <c r="H216" s="87">
        <f>SUM('Egresos Reales'!H81)</f>
        <v>0</v>
      </c>
      <c r="I216" s="87">
        <f>SUM('Egresos Reales'!I81)</f>
        <v>0</v>
      </c>
      <c r="J216" s="87">
        <f>SUM('Egresos Reales'!J81)</f>
        <v>0</v>
      </c>
      <c r="K216" s="87">
        <f>SUM('Egresos Reales'!K81)</f>
        <v>0</v>
      </c>
      <c r="L216" s="87">
        <f>SUM('Egresos Reales'!L81)</f>
        <v>0</v>
      </c>
      <c r="M216" s="87">
        <f>SUM('Egresos Reales'!M81)</f>
        <v>0</v>
      </c>
      <c r="N216" s="87">
        <f t="shared" si="78"/>
        <v>0</v>
      </c>
    </row>
    <row r="217" spans="1:14">
      <c r="A217" s="59" t="s">
        <v>514</v>
      </c>
      <c r="B217" s="579">
        <f>SUM('Egresos Reales'!B82)</f>
        <v>0</v>
      </c>
      <c r="C217" s="87">
        <f>SUM('Egresos Reales'!C82)</f>
        <v>0</v>
      </c>
      <c r="D217" s="87">
        <f>SUM('Egresos Reales'!D82)</f>
        <v>0</v>
      </c>
      <c r="E217" s="87">
        <f>SUM('Egresos Reales'!E82)</f>
        <v>0</v>
      </c>
      <c r="F217" s="87">
        <f>SUM('Egresos Reales'!F82)</f>
        <v>0</v>
      </c>
      <c r="G217" s="87">
        <f>SUM('Egresos Reales'!G82)</f>
        <v>0</v>
      </c>
      <c r="H217" s="87">
        <f>SUM('Egresos Reales'!H82)</f>
        <v>0</v>
      </c>
      <c r="I217" s="87">
        <f>SUM('Egresos Reales'!I82)</f>
        <v>0</v>
      </c>
      <c r="J217" s="87">
        <f>SUM('Egresos Reales'!J82)</f>
        <v>0</v>
      </c>
      <c r="K217" s="87">
        <f>SUM('Egresos Reales'!K82)</f>
        <v>0</v>
      </c>
      <c r="L217" s="87">
        <f>SUM('Egresos Reales'!L82)</f>
        <v>0</v>
      </c>
      <c r="M217" s="87">
        <f>SUM('Egresos Reales'!M82)</f>
        <v>0</v>
      </c>
      <c r="N217" s="87">
        <f t="shared" si="78"/>
        <v>0</v>
      </c>
    </row>
    <row r="218" spans="1:14">
      <c r="A218" s="59" t="s">
        <v>591</v>
      </c>
      <c r="B218" s="579">
        <f>SUM('Egresos Reales'!B83)</f>
        <v>33034.559999999998</v>
      </c>
      <c r="C218" s="87">
        <f>SUM('Egresos Reales'!C83)</f>
        <v>0</v>
      </c>
      <c r="D218" s="87">
        <f>SUM('Egresos Reales'!D83)</f>
        <v>0</v>
      </c>
      <c r="E218" s="87">
        <f>SUM('Egresos Reales'!E83)</f>
        <v>1352400</v>
      </c>
      <c r="F218" s="87">
        <f>SUM('Egresos Reales'!F83)</f>
        <v>0</v>
      </c>
      <c r="G218" s="87">
        <f>SUM('Egresos Reales'!G83)</f>
        <v>0</v>
      </c>
      <c r="H218" s="87">
        <f>SUM('Egresos Reales'!H83)</f>
        <v>43500</v>
      </c>
      <c r="I218" s="87">
        <f>SUM('Egresos Reales'!I83)</f>
        <v>0</v>
      </c>
      <c r="J218" s="87">
        <f>SUM('Egresos Reales'!J83)</f>
        <v>-43500</v>
      </c>
      <c r="K218" s="87">
        <f>SUM('Egresos Reales'!K83)</f>
        <v>0</v>
      </c>
      <c r="L218" s="87">
        <f>SUM('Egresos Reales'!L83)</f>
        <v>0</v>
      </c>
      <c r="M218" s="87">
        <f>SUM('Egresos Reales'!M83)</f>
        <v>0</v>
      </c>
      <c r="N218" s="87">
        <f t="shared" si="78"/>
        <v>1385434.56</v>
      </c>
    </row>
    <row r="219" spans="1:14">
      <c r="A219" s="59" t="s">
        <v>1156</v>
      </c>
      <c r="B219" s="579">
        <f>SUM('Egresos Reales'!B84)</f>
        <v>0</v>
      </c>
      <c r="C219" s="87">
        <f>SUM('Egresos Reales'!C84)</f>
        <v>0</v>
      </c>
      <c r="D219" s="87">
        <f>SUM('Egresos Reales'!D84)</f>
        <v>0</v>
      </c>
      <c r="E219" s="87">
        <f>SUM('Egresos Reales'!E84)</f>
        <v>0</v>
      </c>
      <c r="F219" s="87">
        <f>SUM('Egresos Reales'!F84)</f>
        <v>0</v>
      </c>
      <c r="G219" s="87">
        <f>SUM('Egresos Reales'!G84)</f>
        <v>0</v>
      </c>
      <c r="H219" s="87">
        <f>SUM('Egresos Reales'!H84)</f>
        <v>1322422.04</v>
      </c>
      <c r="I219" s="87">
        <f>SUM('Egresos Reales'!I84)</f>
        <v>187751.8</v>
      </c>
      <c r="J219" s="87">
        <f>SUM('Egresos Reales'!J84)</f>
        <v>43500</v>
      </c>
      <c r="K219" s="87">
        <f>SUM('Egresos Reales'!K84)</f>
        <v>0</v>
      </c>
      <c r="L219" s="87">
        <f>SUM('Egresos Reales'!L84)</f>
        <v>0</v>
      </c>
      <c r="M219" s="87">
        <f>SUM('Egresos Reales'!M84)</f>
        <v>0</v>
      </c>
      <c r="N219" s="87">
        <f t="shared" ref="N219" si="82">SUM(B219:M219)</f>
        <v>1553673.84</v>
      </c>
    </row>
    <row r="220" spans="1:14">
      <c r="A220" s="59" t="s">
        <v>493</v>
      </c>
      <c r="B220" s="579">
        <f>SUM('Egresos Reales'!B85)</f>
        <v>5.8</v>
      </c>
      <c r="C220" s="87">
        <f>SUM('Egresos Reales'!C85)</f>
        <v>0</v>
      </c>
      <c r="D220" s="87">
        <f>SUM('Egresos Reales'!D85)</f>
        <v>0</v>
      </c>
      <c r="E220" s="87">
        <f>SUM('Egresos Reales'!E85)</f>
        <v>0</v>
      </c>
      <c r="F220" s="87">
        <f>SUM('Egresos Reales'!F85)</f>
        <v>0</v>
      </c>
      <c r="G220" s="87">
        <f>SUM('Egresos Reales'!G85)</f>
        <v>0</v>
      </c>
      <c r="H220" s="87">
        <f>SUM('Egresos Reales'!H85)</f>
        <v>0</v>
      </c>
      <c r="I220" s="87">
        <f>SUM('Egresos Reales'!I85)</f>
        <v>0</v>
      </c>
      <c r="J220" s="87">
        <f>SUM('Egresos Reales'!J85)</f>
        <v>0</v>
      </c>
      <c r="K220" s="87">
        <f>SUM('Egresos Reales'!K85)</f>
        <v>0</v>
      </c>
      <c r="L220" s="87">
        <f>SUM('Egresos Reales'!L85)</f>
        <v>0</v>
      </c>
      <c r="M220" s="87">
        <f>SUM('Egresos Reales'!M85)</f>
        <v>0</v>
      </c>
      <c r="N220" s="87">
        <f t="shared" si="78"/>
        <v>5.8</v>
      </c>
    </row>
    <row r="221" spans="1:14">
      <c r="A221" s="59" t="s">
        <v>494</v>
      </c>
      <c r="B221" s="579">
        <f>SUM('Egresos Reales'!B86)</f>
        <v>0</v>
      </c>
      <c r="C221" s="87">
        <f>SUM('Egresos Reales'!C86)</f>
        <v>0</v>
      </c>
      <c r="D221" s="87">
        <f>SUM('Egresos Reales'!D86)</f>
        <v>0</v>
      </c>
      <c r="E221" s="87">
        <f>SUM('Egresos Reales'!E86)</f>
        <v>0</v>
      </c>
      <c r="F221" s="87">
        <f>SUM('Egresos Reales'!F86)</f>
        <v>0</v>
      </c>
      <c r="G221" s="87">
        <f>SUM('Egresos Reales'!G86)</f>
        <v>0</v>
      </c>
      <c r="H221" s="87">
        <f>SUM('Egresos Reales'!H86)</f>
        <v>0</v>
      </c>
      <c r="I221" s="87">
        <f>SUM('Egresos Reales'!I86)</f>
        <v>0</v>
      </c>
      <c r="J221" s="87">
        <f>SUM('Egresos Reales'!J86)</f>
        <v>0</v>
      </c>
      <c r="K221" s="87">
        <f>SUM('Egresos Reales'!K86)</f>
        <v>0</v>
      </c>
      <c r="L221" s="87">
        <f>SUM('Egresos Reales'!L86)</f>
        <v>0</v>
      </c>
      <c r="M221" s="87">
        <f>SUM('Egresos Reales'!M86)</f>
        <v>0</v>
      </c>
      <c r="N221" s="87">
        <f t="shared" si="78"/>
        <v>0</v>
      </c>
    </row>
    <row r="222" spans="1:14">
      <c r="A222" s="59" t="s">
        <v>586</v>
      </c>
      <c r="B222" s="579">
        <f>SUM('Egresos Reales'!B87)</f>
        <v>0</v>
      </c>
      <c r="C222" s="87">
        <f>SUM('Egresos Reales'!C87)</f>
        <v>10.32</v>
      </c>
      <c r="D222" s="87">
        <f>SUM('Egresos Reales'!D87)</f>
        <v>986</v>
      </c>
      <c r="E222" s="87">
        <f>SUM('Egresos Reales'!E87)</f>
        <v>0</v>
      </c>
      <c r="F222" s="87">
        <f>SUM('Egresos Reales'!F87)</f>
        <v>0</v>
      </c>
      <c r="G222" s="87">
        <f>SUM('Egresos Reales'!G87)</f>
        <v>0</v>
      </c>
      <c r="H222" s="87">
        <f>SUM('Egresos Reales'!H87)</f>
        <v>0</v>
      </c>
      <c r="I222" s="87">
        <f>SUM('Egresos Reales'!I87)</f>
        <v>0</v>
      </c>
      <c r="J222" s="87">
        <f>SUM('Egresos Reales'!J87)</f>
        <v>0</v>
      </c>
      <c r="K222" s="87">
        <f>SUM('Egresos Reales'!K87)</f>
        <v>0</v>
      </c>
      <c r="L222" s="87">
        <f>SUM('Egresos Reales'!L87)</f>
        <v>0</v>
      </c>
      <c r="M222" s="87">
        <f>SUM('Egresos Reales'!M87)</f>
        <v>0</v>
      </c>
      <c r="N222" s="87">
        <f t="shared" si="78"/>
        <v>996.32</v>
      </c>
    </row>
    <row r="223" spans="1:14">
      <c r="A223" s="59" t="s">
        <v>1149</v>
      </c>
      <c r="B223" s="579">
        <f>SUM('Egresos Reales'!B88)</f>
        <v>0</v>
      </c>
      <c r="C223" s="87">
        <f>SUM('Egresos Reales'!C88)</f>
        <v>0</v>
      </c>
      <c r="D223" s="87">
        <f>SUM('Egresos Reales'!D88)</f>
        <v>0</v>
      </c>
      <c r="E223" s="87">
        <f>SUM('Egresos Reales'!E88)</f>
        <v>0</v>
      </c>
      <c r="F223" s="87">
        <f>SUM('Egresos Reales'!F88)</f>
        <v>0</v>
      </c>
      <c r="G223" s="87">
        <f>SUM('Egresos Reales'!G88)</f>
        <v>5.8</v>
      </c>
      <c r="H223" s="87">
        <f>SUM('Egresos Reales'!H88)</f>
        <v>0</v>
      </c>
      <c r="I223" s="87">
        <f>SUM('Egresos Reales'!I88)</f>
        <v>0</v>
      </c>
      <c r="J223" s="87">
        <f>SUM('Egresos Reales'!J88)</f>
        <v>0</v>
      </c>
      <c r="K223" s="87">
        <f>SUM('Egresos Reales'!K88)</f>
        <v>0</v>
      </c>
      <c r="L223" s="87">
        <f>SUM('Egresos Reales'!L88)</f>
        <v>0</v>
      </c>
      <c r="M223" s="87">
        <f>SUM('Egresos Reales'!M88)</f>
        <v>0</v>
      </c>
      <c r="N223" s="87">
        <f t="shared" ref="N223" si="83">SUM(B223:M223)</f>
        <v>5.8</v>
      </c>
    </row>
    <row r="224" spans="1:14">
      <c r="A224" s="59" t="s">
        <v>413</v>
      </c>
      <c r="B224" s="579">
        <f>SUM('Egresos Reales'!B89)</f>
        <v>0</v>
      </c>
      <c r="C224" s="87">
        <f>SUM('Egresos Reales'!C89)</f>
        <v>0</v>
      </c>
      <c r="D224" s="87">
        <f>SUM('Egresos Reales'!D89)</f>
        <v>0</v>
      </c>
      <c r="E224" s="87">
        <f>SUM('Egresos Reales'!E89)</f>
        <v>0</v>
      </c>
      <c r="F224" s="87">
        <f>SUM('Egresos Reales'!F89)</f>
        <v>0</v>
      </c>
      <c r="G224" s="87">
        <f>SUM('Egresos Reales'!G89)</f>
        <v>0</v>
      </c>
      <c r="H224" s="87">
        <f>SUM('Egresos Reales'!H89)</f>
        <v>0</v>
      </c>
      <c r="I224" s="87">
        <f>SUM('Egresos Reales'!I89)</f>
        <v>0</v>
      </c>
      <c r="J224" s="87">
        <f>SUM('Egresos Reales'!J89)</f>
        <v>0</v>
      </c>
      <c r="K224" s="87">
        <f>SUM('Egresos Reales'!K89)</f>
        <v>0</v>
      </c>
      <c r="L224" s="87">
        <f>SUM('Egresos Reales'!L89)</f>
        <v>0</v>
      </c>
      <c r="M224" s="87">
        <f>SUM('Egresos Reales'!M89)</f>
        <v>0</v>
      </c>
      <c r="N224" s="87">
        <f t="shared" si="78"/>
        <v>0</v>
      </c>
    </row>
    <row r="225" spans="1:14">
      <c r="A225" s="59" t="s">
        <v>328</v>
      </c>
      <c r="B225" s="579">
        <f>SUM('Egresos Reales'!B90)</f>
        <v>0</v>
      </c>
      <c r="C225" s="87">
        <f>SUM('Egresos Reales'!C90)</f>
        <v>0</v>
      </c>
      <c r="D225" s="87">
        <f>SUM('Egresos Reales'!D90)</f>
        <v>0</v>
      </c>
      <c r="E225" s="87">
        <f>SUM('Egresos Reales'!E90)</f>
        <v>0</v>
      </c>
      <c r="F225" s="87">
        <f>SUM('Egresos Reales'!F90)</f>
        <v>0</v>
      </c>
      <c r="G225" s="87">
        <f>SUM('Egresos Reales'!G90)</f>
        <v>0</v>
      </c>
      <c r="H225" s="87">
        <f>SUM('Egresos Reales'!H90)</f>
        <v>0</v>
      </c>
      <c r="I225" s="87">
        <f>SUM('Egresos Reales'!I90)</f>
        <v>0</v>
      </c>
      <c r="J225" s="87">
        <f>SUM('Egresos Reales'!J90)</f>
        <v>0</v>
      </c>
      <c r="K225" s="87">
        <f>SUM('Egresos Reales'!K90)</f>
        <v>0</v>
      </c>
      <c r="L225" s="87">
        <f>SUM('Egresos Reales'!L90)</f>
        <v>0</v>
      </c>
      <c r="M225" s="87">
        <f>SUM('Egresos Reales'!M90)</f>
        <v>0</v>
      </c>
      <c r="N225" s="87">
        <f t="shared" si="78"/>
        <v>0</v>
      </c>
    </row>
    <row r="226" spans="1:14">
      <c r="A226" s="59" t="s">
        <v>465</v>
      </c>
      <c r="B226" s="579">
        <f>SUM('Egresos Reales'!B91)</f>
        <v>2916666</v>
      </c>
      <c r="C226" s="87">
        <f>SUM('Egresos Reales'!C91)</f>
        <v>2916666</v>
      </c>
      <c r="D226" s="87">
        <f>SUM('Egresos Reales'!D91)</f>
        <v>2916666</v>
      </c>
      <c r="E226" s="87">
        <f>SUM('Egresos Reales'!E91)</f>
        <v>833333</v>
      </c>
      <c r="F226" s="87">
        <f>SUM('Egresos Reales'!F91)</f>
        <v>3833333</v>
      </c>
      <c r="G226" s="87">
        <f>SUM('Egresos Reales'!G91)</f>
        <v>10833333</v>
      </c>
      <c r="H226" s="87">
        <f>SUM('Egresos Reales'!H91)</f>
        <v>20833333</v>
      </c>
      <c r="I226" s="87">
        <f>SUM('Egresos Reales'!I91)</f>
        <v>833333</v>
      </c>
      <c r="J226" s="87">
        <f>SUM('Egresos Reales'!J91)</f>
        <v>24815333</v>
      </c>
      <c r="K226" s="87">
        <f>SUM('Egresos Reales'!K91)</f>
        <v>833333</v>
      </c>
      <c r="L226" s="87">
        <f>SUM('Egresos Reales'!L91)</f>
        <v>833333</v>
      </c>
      <c r="M226" s="87">
        <f>SUM('Egresos Reales'!M91)</f>
        <v>10000000</v>
      </c>
      <c r="N226" s="87">
        <f t="shared" si="78"/>
        <v>82398662</v>
      </c>
    </row>
    <row r="227" spans="1:14">
      <c r="A227" s="215" t="s">
        <v>440</v>
      </c>
      <c r="B227" s="579">
        <f>SUM('Egresos Reales'!B92)</f>
        <v>0</v>
      </c>
      <c r="C227" s="87">
        <f>SUM('Egresos Reales'!C92)</f>
        <v>0</v>
      </c>
      <c r="D227" s="87">
        <f>SUM('Egresos Reales'!D92)</f>
        <v>0</v>
      </c>
      <c r="E227" s="87">
        <f>SUM('Egresos Reales'!E92)</f>
        <v>0</v>
      </c>
      <c r="F227" s="87">
        <f>SUM('Egresos Reales'!F92)</f>
        <v>0</v>
      </c>
      <c r="G227" s="87">
        <f>SUM('Egresos Reales'!G92)</f>
        <v>0</v>
      </c>
      <c r="H227" s="87">
        <f>SUM('Egresos Reales'!H92)</f>
        <v>0</v>
      </c>
      <c r="I227" s="87">
        <f>SUM('Egresos Reales'!I92)</f>
        <v>0</v>
      </c>
      <c r="J227" s="87">
        <f>SUM('Egresos Reales'!J92)</f>
        <v>0</v>
      </c>
      <c r="K227" s="87">
        <f>SUM('Egresos Reales'!K92)</f>
        <v>0</v>
      </c>
      <c r="L227" s="87">
        <f>SUM('Egresos Reales'!L92)</f>
        <v>0</v>
      </c>
      <c r="M227" s="87">
        <f>SUM('Egresos Reales'!M92)</f>
        <v>0</v>
      </c>
      <c r="N227" s="87">
        <f t="shared" si="78"/>
        <v>0</v>
      </c>
    </row>
    <row r="228" spans="1:14">
      <c r="A228" s="215" t="s">
        <v>546</v>
      </c>
      <c r="B228" s="579">
        <f>SUM('Egresos Reales'!B93)</f>
        <v>0</v>
      </c>
      <c r="C228" s="87">
        <f>SUM('Egresos Reales'!C93)</f>
        <v>0</v>
      </c>
      <c r="D228" s="87">
        <f>SUM('Egresos Reales'!D93)</f>
        <v>0</v>
      </c>
      <c r="E228" s="87">
        <f>SUM('Egresos Reales'!E93)</f>
        <v>0</v>
      </c>
      <c r="F228" s="87">
        <f>SUM('Egresos Reales'!F93)</f>
        <v>1200000</v>
      </c>
      <c r="G228" s="87">
        <f>SUM('Egresos Reales'!G93)</f>
        <v>0</v>
      </c>
      <c r="H228" s="87">
        <f>SUM('Egresos Reales'!H93)</f>
        <v>0</v>
      </c>
      <c r="I228" s="87">
        <f>SUM('Egresos Reales'!I93)</f>
        <v>0</v>
      </c>
      <c r="J228" s="87">
        <f>SUM('Egresos Reales'!J93)</f>
        <v>900000</v>
      </c>
      <c r="K228" s="87">
        <f>SUM('Egresos Reales'!K93)</f>
        <v>0</v>
      </c>
      <c r="L228" s="87">
        <f>SUM('Egresos Reales'!L93)</f>
        <v>900000</v>
      </c>
      <c r="M228" s="87">
        <f>SUM('Egresos Reales'!M93)</f>
        <v>0</v>
      </c>
      <c r="N228" s="87">
        <f t="shared" si="78"/>
        <v>3000000</v>
      </c>
    </row>
    <row r="229" spans="1:14">
      <c r="A229" s="215" t="s">
        <v>557</v>
      </c>
      <c r="B229" s="579">
        <f>SUM('Egresos Reales'!B94)</f>
        <v>0</v>
      </c>
      <c r="C229" s="87">
        <f>SUM('Egresos Reales'!C94)</f>
        <v>0</v>
      </c>
      <c r="D229" s="87">
        <f>SUM('Egresos Reales'!D94)</f>
        <v>0</v>
      </c>
      <c r="E229" s="87">
        <f>SUM('Egresos Reales'!E94)</f>
        <v>0</v>
      </c>
      <c r="F229" s="87">
        <f>SUM('Egresos Reales'!F94)</f>
        <v>0</v>
      </c>
      <c r="G229" s="87">
        <f>SUM('Egresos Reales'!G94)</f>
        <v>0</v>
      </c>
      <c r="H229" s="87">
        <f>SUM('Egresos Reales'!H94)</f>
        <v>0</v>
      </c>
      <c r="I229" s="87">
        <f>SUM('Egresos Reales'!I94)</f>
        <v>0</v>
      </c>
      <c r="J229" s="87">
        <f>SUM('Egresos Reales'!J94)</f>
        <v>0</v>
      </c>
      <c r="K229" s="87">
        <f>SUM('Egresos Reales'!K94)</f>
        <v>0</v>
      </c>
      <c r="L229" s="87">
        <f>SUM('Egresos Reales'!L94)</f>
        <v>0</v>
      </c>
      <c r="M229" s="87">
        <f>SUM('Egresos Reales'!M94)</f>
        <v>0</v>
      </c>
      <c r="N229" s="87">
        <f t="shared" si="78"/>
        <v>0</v>
      </c>
    </row>
    <row r="230" spans="1:14">
      <c r="A230" s="215" t="s">
        <v>541</v>
      </c>
      <c r="B230" s="579">
        <f>SUM('Egresos Reales'!B95)</f>
        <v>0</v>
      </c>
      <c r="C230" s="87">
        <f>SUM('Egresos Reales'!C95)</f>
        <v>0</v>
      </c>
      <c r="D230" s="87">
        <f>SUM('Egresos Reales'!D95)</f>
        <v>0</v>
      </c>
      <c r="E230" s="87">
        <f>SUM('Egresos Reales'!E95)</f>
        <v>0</v>
      </c>
      <c r="F230" s="87">
        <f>SUM('Egresos Reales'!F95)</f>
        <v>0</v>
      </c>
      <c r="G230" s="87">
        <f>SUM('Egresos Reales'!G95)</f>
        <v>0</v>
      </c>
      <c r="H230" s="87">
        <f>SUM('Egresos Reales'!H95)</f>
        <v>0</v>
      </c>
      <c r="I230" s="87">
        <f>SUM('Egresos Reales'!I95)</f>
        <v>0</v>
      </c>
      <c r="J230" s="87">
        <f>SUM('Egresos Reales'!J95)</f>
        <v>0</v>
      </c>
      <c r="K230" s="87">
        <f>SUM('Egresos Reales'!K95)</f>
        <v>0</v>
      </c>
      <c r="L230" s="87">
        <f>SUM('Egresos Reales'!L95)</f>
        <v>0</v>
      </c>
      <c r="M230" s="87">
        <f>SUM('Egresos Reales'!M95)</f>
        <v>0</v>
      </c>
      <c r="N230" s="87">
        <f t="shared" si="78"/>
        <v>0</v>
      </c>
    </row>
    <row r="231" spans="1:14">
      <c r="A231" s="215" t="s">
        <v>542</v>
      </c>
      <c r="B231" s="579">
        <f>SUM('Egresos Reales'!B96)</f>
        <v>0</v>
      </c>
      <c r="C231" s="87">
        <f>SUM('Egresos Reales'!C96)</f>
        <v>0</v>
      </c>
      <c r="D231" s="87">
        <f>SUM('Egresos Reales'!D96)</f>
        <v>0</v>
      </c>
      <c r="E231" s="87">
        <f>SUM('Egresos Reales'!E96)</f>
        <v>0</v>
      </c>
      <c r="F231" s="87">
        <f>SUM('Egresos Reales'!F96)</f>
        <v>0</v>
      </c>
      <c r="G231" s="87">
        <f>SUM('Egresos Reales'!G96)</f>
        <v>0</v>
      </c>
      <c r="H231" s="87">
        <f>SUM('Egresos Reales'!H96)</f>
        <v>0</v>
      </c>
      <c r="I231" s="87">
        <f>SUM('Egresos Reales'!I96)</f>
        <v>0</v>
      </c>
      <c r="J231" s="87">
        <f>SUM('Egresos Reales'!J96)</f>
        <v>0</v>
      </c>
      <c r="K231" s="87">
        <f>SUM('Egresos Reales'!K96)</f>
        <v>0</v>
      </c>
      <c r="L231" s="87">
        <f>SUM('Egresos Reales'!L96)</f>
        <v>0</v>
      </c>
      <c r="M231" s="87">
        <f>SUM('Egresos Reales'!M96)</f>
        <v>0</v>
      </c>
      <c r="N231" s="87">
        <f t="shared" si="78"/>
        <v>0</v>
      </c>
    </row>
    <row r="232" spans="1:14">
      <c r="A232" s="215" t="s">
        <v>598</v>
      </c>
      <c r="B232" s="579">
        <f>SUM('Egresos Reales'!B97)</f>
        <v>446528.4</v>
      </c>
      <c r="C232" s="87">
        <f>SUM('Egresos Reales'!C97)</f>
        <v>446528.4</v>
      </c>
      <c r="D232" s="87">
        <f>SUM('Egresos Reales'!D97)</f>
        <v>446528.4</v>
      </c>
      <c r="E232" s="87">
        <f>SUM('Egresos Reales'!E97)</f>
        <v>446528.4</v>
      </c>
      <c r="F232" s="87">
        <f>SUM('Egresos Reales'!F97)</f>
        <v>446528.4</v>
      </c>
      <c r="G232" s="87">
        <f>SUM('Egresos Reales'!G97)</f>
        <v>446528.4</v>
      </c>
      <c r="H232" s="87">
        <f>SUM('Egresos Reales'!H97)</f>
        <v>446528.4</v>
      </c>
      <c r="I232" s="87">
        <f>SUM('Egresos Reales'!I97)</f>
        <v>446528.4</v>
      </c>
      <c r="J232" s="87">
        <f>SUM('Egresos Reales'!J97)</f>
        <v>446528.4</v>
      </c>
      <c r="K232" s="87">
        <f>SUM('Egresos Reales'!K97)</f>
        <v>446528.4</v>
      </c>
      <c r="L232" s="87">
        <f>SUM('Egresos Reales'!L97)</f>
        <v>446528.4</v>
      </c>
      <c r="M232" s="87">
        <f>SUM('Egresos Reales'!M97)</f>
        <v>446528.4</v>
      </c>
      <c r="N232" s="87">
        <f>SUM(B232:M232)</f>
        <v>5358340.8000000007</v>
      </c>
    </row>
    <row r="233" spans="1:14">
      <c r="A233" s="185" t="s">
        <v>330</v>
      </c>
      <c r="B233" s="580">
        <f>SUM(B199:B232)</f>
        <v>10349105.199999999</v>
      </c>
      <c r="C233" s="394">
        <f t="shared" ref="C233:N233" si="84">SUM(C199:C232)</f>
        <v>10901476.4</v>
      </c>
      <c r="D233" s="394">
        <f t="shared" si="84"/>
        <v>10020094.959999999</v>
      </c>
      <c r="E233" s="394">
        <f t="shared" si="84"/>
        <v>10408652.640000001</v>
      </c>
      <c r="F233" s="394">
        <f t="shared" si="84"/>
        <v>13868978.65</v>
      </c>
      <c r="G233" s="394">
        <f t="shared" si="84"/>
        <v>18770980.919999998</v>
      </c>
      <c r="H233" s="394">
        <f t="shared" ref="H233" si="85">SUM(H199:H232)</f>
        <v>33215716.73</v>
      </c>
      <c r="I233" s="394">
        <f t="shared" si="84"/>
        <v>9021946.0499999989</v>
      </c>
      <c r="J233" s="394">
        <f t="shared" ref="J233" si="86">SUM(J199:J232)</f>
        <v>33989027.579999998</v>
      </c>
      <c r="K233" s="394">
        <f t="shared" si="84"/>
        <v>10087579.630000001</v>
      </c>
      <c r="L233" s="394">
        <f t="shared" si="84"/>
        <v>9911279.7599999998</v>
      </c>
      <c r="M233" s="394">
        <f t="shared" si="84"/>
        <v>25715855.809999999</v>
      </c>
      <c r="N233" s="394">
        <f t="shared" si="84"/>
        <v>196260694.32999998</v>
      </c>
    </row>
    <row r="234" spans="1:14">
      <c r="A234" s="51" t="s">
        <v>128</v>
      </c>
      <c r="B234" s="580"/>
      <c r="C234" s="394"/>
      <c r="D234" s="394"/>
      <c r="E234" s="394"/>
      <c r="F234" s="394"/>
      <c r="G234" s="394"/>
      <c r="H234" s="394"/>
      <c r="I234" s="394"/>
      <c r="J234" s="394"/>
      <c r="K234" s="394"/>
      <c r="L234" s="394"/>
      <c r="M234" s="394"/>
      <c r="N234" s="394"/>
    </row>
    <row r="235" spans="1:14">
      <c r="A235" s="56" t="s">
        <v>129</v>
      </c>
      <c r="B235" s="579">
        <f>SUM('Egresos Reales'!B99)</f>
        <v>0</v>
      </c>
      <c r="C235" s="87">
        <f>SUM('Egresos Reales'!C99)</f>
        <v>0</v>
      </c>
      <c r="D235" s="87">
        <f>SUM('Egresos Reales'!D99)</f>
        <v>0</v>
      </c>
      <c r="E235" s="87">
        <f>SUM('Egresos Reales'!E99)</f>
        <v>0</v>
      </c>
      <c r="F235" s="87">
        <f>SUM('Egresos Reales'!F99)</f>
        <v>0</v>
      </c>
      <c r="G235" s="87">
        <f>SUM('Egresos Reales'!G99)</f>
        <v>0</v>
      </c>
      <c r="H235" s="87">
        <f>SUM('Egresos Reales'!H99)</f>
        <v>0</v>
      </c>
      <c r="I235" s="87">
        <f>SUM('Egresos Reales'!I99)</f>
        <v>0</v>
      </c>
      <c r="J235" s="87">
        <f>SUM('Egresos Reales'!J99)</f>
        <v>3195000</v>
      </c>
      <c r="K235" s="87">
        <f>SUM('Egresos Reales'!K99)</f>
        <v>5182000</v>
      </c>
      <c r="L235" s="87">
        <f>SUM('Egresos Reales'!L99)</f>
        <v>176000</v>
      </c>
      <c r="M235" s="87">
        <f>SUM('Egresos Reales'!M99)</f>
        <v>55197813</v>
      </c>
      <c r="N235" s="87">
        <f>SUM(B235:M235)</f>
        <v>63750813</v>
      </c>
    </row>
    <row r="236" spans="1:14">
      <c r="A236" s="26" t="s">
        <v>538</v>
      </c>
      <c r="B236" s="579">
        <f>SUM('Egresos Reales'!B100)</f>
        <v>466967.62</v>
      </c>
      <c r="C236" s="87">
        <f>SUM('Egresos Reales'!C100)</f>
        <v>2110817.38</v>
      </c>
      <c r="D236" s="87">
        <f>SUM('Egresos Reales'!D100)</f>
        <v>955116.66</v>
      </c>
      <c r="E236" s="87">
        <f>SUM('Egresos Reales'!E100)</f>
        <v>1172120.51</v>
      </c>
      <c r="F236" s="87">
        <f>SUM('Egresos Reales'!F100)</f>
        <v>1153110.33</v>
      </c>
      <c r="G236" s="87">
        <f>SUM('Egresos Reales'!G100)</f>
        <v>1326126.0900000001</v>
      </c>
      <c r="H236" s="87">
        <f>SUM('Egresos Reales'!H100)</f>
        <v>1462763.24</v>
      </c>
      <c r="I236" s="87">
        <f>SUM('Egresos Reales'!I100)</f>
        <v>1502209.71</v>
      </c>
      <c r="J236" s="87">
        <f>SUM('Egresos Reales'!J100)</f>
        <v>1591725.6500000004</v>
      </c>
      <c r="K236" s="87">
        <f>SUM('Egresos Reales'!K100)</f>
        <v>1474627.92</v>
      </c>
      <c r="L236" s="87">
        <f>SUM('Egresos Reales'!L100)</f>
        <v>1537650.81</v>
      </c>
      <c r="M236" s="87">
        <f>SUM('Egresos Reales'!M100)</f>
        <v>1757844.1400000001</v>
      </c>
      <c r="N236" s="87">
        <f>SUM(B236:M236)</f>
        <v>16511080.060000001</v>
      </c>
    </row>
    <row r="237" spans="1:14">
      <c r="A237" s="56" t="s">
        <v>363</v>
      </c>
      <c r="B237" s="579">
        <f>SUM('Egresos Reales'!B101)</f>
        <v>0</v>
      </c>
      <c r="C237" s="87">
        <f>SUM('Egresos Reales'!C101)</f>
        <v>0</v>
      </c>
      <c r="D237" s="87">
        <f>SUM('Egresos Reales'!D101)</f>
        <v>0</v>
      </c>
      <c r="E237" s="87">
        <f>SUM('Egresos Reales'!E101)</f>
        <v>0</v>
      </c>
      <c r="F237" s="87">
        <f>SUM('Egresos Reales'!F101)</f>
        <v>0</v>
      </c>
      <c r="G237" s="87">
        <f>SUM('Egresos Reales'!G101)</f>
        <v>0</v>
      </c>
      <c r="H237" s="87">
        <f>SUM('Egresos Reales'!H101)</f>
        <v>0</v>
      </c>
      <c r="I237" s="87">
        <f>SUM('Egresos Reales'!I101)</f>
        <v>0</v>
      </c>
      <c r="J237" s="87">
        <f>SUM('Egresos Reales'!J101)</f>
        <v>0</v>
      </c>
      <c r="K237" s="87">
        <f>SUM('Egresos Reales'!K101)</f>
        <v>0</v>
      </c>
      <c r="L237" s="87">
        <f>SUM('Egresos Reales'!L101)</f>
        <v>0</v>
      </c>
      <c r="M237" s="87">
        <f>SUM('Egresos Reales'!M101)</f>
        <v>0</v>
      </c>
      <c r="N237" s="87">
        <f>SUM(B237:M237)</f>
        <v>0</v>
      </c>
    </row>
    <row r="238" spans="1:14">
      <c r="A238" s="56" t="s">
        <v>368</v>
      </c>
      <c r="B238" s="579">
        <f>SUM('Egresos Reales'!B102)</f>
        <v>0</v>
      </c>
      <c r="C238" s="87">
        <f>SUM('Egresos Reales'!C102)</f>
        <v>0</v>
      </c>
      <c r="D238" s="87">
        <f>SUM('Egresos Reales'!D102)</f>
        <v>0</v>
      </c>
      <c r="E238" s="87">
        <f>SUM('Egresos Reales'!E102)</f>
        <v>0</v>
      </c>
      <c r="F238" s="87">
        <f>SUM('Egresos Reales'!F102)</f>
        <v>0</v>
      </c>
      <c r="G238" s="87">
        <f>SUM('Egresos Reales'!G102)</f>
        <v>0</v>
      </c>
      <c r="H238" s="87">
        <f>SUM('Egresos Reales'!H102)</f>
        <v>0</v>
      </c>
      <c r="I238" s="87">
        <f>SUM('Egresos Reales'!I102)</f>
        <v>0</v>
      </c>
      <c r="J238" s="87">
        <f>SUM('Egresos Reales'!J102)</f>
        <v>0</v>
      </c>
      <c r="K238" s="87">
        <f>SUM('Egresos Reales'!K102)</f>
        <v>0</v>
      </c>
      <c r="L238" s="87">
        <f>SUM('Egresos Reales'!L102)</f>
        <v>0</v>
      </c>
      <c r="M238" s="87">
        <f>SUM('Egresos Reales'!M102)</f>
        <v>0</v>
      </c>
      <c r="N238" s="87">
        <f>SUM(B238:M238)</f>
        <v>0</v>
      </c>
    </row>
    <row r="239" spans="1:14">
      <c r="A239" s="19" t="s">
        <v>399</v>
      </c>
      <c r="B239" s="579">
        <f>SUM('Egresos Reales'!B103)</f>
        <v>0</v>
      </c>
      <c r="C239" s="87">
        <f>SUM('Egresos Reales'!C103)</f>
        <v>0</v>
      </c>
      <c r="D239" s="87">
        <f>SUM('Egresos Reales'!D103)</f>
        <v>0</v>
      </c>
      <c r="E239" s="87">
        <f>SUM('Egresos Reales'!E103)</f>
        <v>0</v>
      </c>
      <c r="F239" s="87">
        <f>SUM('Egresos Reales'!F103)</f>
        <v>0</v>
      </c>
      <c r="G239" s="87">
        <f>SUM('Egresos Reales'!G103)</f>
        <v>0</v>
      </c>
      <c r="H239" s="87">
        <f>SUM('Egresos Reales'!H103)</f>
        <v>0</v>
      </c>
      <c r="I239" s="87">
        <f>SUM('Egresos Reales'!I103)</f>
        <v>0</v>
      </c>
      <c r="J239" s="87">
        <f>SUM('Egresos Reales'!J103)</f>
        <v>0</v>
      </c>
      <c r="K239" s="87">
        <f>SUM('Egresos Reales'!K103)</f>
        <v>0</v>
      </c>
      <c r="L239" s="87">
        <f>SUM('Egresos Reales'!L103)</f>
        <v>0</v>
      </c>
      <c r="M239" s="87">
        <f>SUM('Egresos Reales'!M103)</f>
        <v>0</v>
      </c>
      <c r="N239" s="87">
        <f>SUM(B239:M239)</f>
        <v>0</v>
      </c>
    </row>
    <row r="240" spans="1:14">
      <c r="A240" s="58" t="s">
        <v>130</v>
      </c>
      <c r="B240" s="580">
        <f>SUM(B235:B239)</f>
        <v>466967.62</v>
      </c>
      <c r="C240" s="394">
        <f t="shared" ref="C240:N240" si="87">SUM(C235:C239)</f>
        <v>2110817.38</v>
      </c>
      <c r="D240" s="394">
        <f t="shared" si="87"/>
        <v>955116.66</v>
      </c>
      <c r="E240" s="394">
        <f t="shared" si="87"/>
        <v>1172120.51</v>
      </c>
      <c r="F240" s="394">
        <f t="shared" si="87"/>
        <v>1153110.33</v>
      </c>
      <c r="G240" s="394">
        <f t="shared" si="87"/>
        <v>1326126.0900000001</v>
      </c>
      <c r="H240" s="394">
        <f t="shared" ref="H240" si="88">SUM(H235:H239)</f>
        <v>1462763.24</v>
      </c>
      <c r="I240" s="394">
        <f t="shared" si="87"/>
        <v>1502209.71</v>
      </c>
      <c r="J240" s="394">
        <f t="shared" ref="J240" si="89">SUM(J235:J239)</f>
        <v>4786725.6500000004</v>
      </c>
      <c r="K240" s="394">
        <f t="shared" si="87"/>
        <v>6656627.9199999999</v>
      </c>
      <c r="L240" s="394">
        <f t="shared" si="87"/>
        <v>1713650.81</v>
      </c>
      <c r="M240" s="394">
        <f t="shared" si="87"/>
        <v>56955657.140000001</v>
      </c>
      <c r="N240" s="394">
        <f t="shared" si="87"/>
        <v>80261893.060000002</v>
      </c>
    </row>
    <row r="241" spans="1:15">
      <c r="A241" s="51" t="s">
        <v>354</v>
      </c>
      <c r="B241" s="579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</row>
    <row r="242" spans="1:15">
      <c r="A242" s="56" t="s">
        <v>229</v>
      </c>
      <c r="B242" s="579">
        <f>SUM('Egresos Reales'!B105)</f>
        <v>6760</v>
      </c>
      <c r="C242" s="87">
        <f>SUM('Egresos Reales'!C105)</f>
        <v>0</v>
      </c>
      <c r="D242" s="87">
        <f>SUM('Egresos Reales'!D105)</f>
        <v>257131.16</v>
      </c>
      <c r="E242" s="87">
        <f>SUM('Egresos Reales'!E105)</f>
        <v>503885.17</v>
      </c>
      <c r="F242" s="87">
        <f>SUM('Egresos Reales'!F105)</f>
        <v>12992.85</v>
      </c>
      <c r="G242" s="87">
        <f>SUM('Egresos Reales'!G105)</f>
        <v>456369.97</v>
      </c>
      <c r="H242" s="87">
        <f>SUM('Egresos Reales'!H105)</f>
        <v>69228.399999999994</v>
      </c>
      <c r="I242" s="87">
        <f>SUM('Egresos Reales'!I105)</f>
        <v>85260</v>
      </c>
      <c r="J242" s="87">
        <f>SUM('Egresos Reales'!J105)</f>
        <v>36540</v>
      </c>
      <c r="K242" s="87">
        <f>SUM('Egresos Reales'!K105)</f>
        <v>0</v>
      </c>
      <c r="L242" s="87">
        <f>SUM('Egresos Reales'!L105)</f>
        <v>0</v>
      </c>
      <c r="M242" s="87">
        <f>SUM('Egresos Reales'!M105)</f>
        <v>0</v>
      </c>
      <c r="N242" s="87">
        <f t="shared" ref="N242" si="90">SUM(B242:M242)</f>
        <v>1428167.5499999998</v>
      </c>
      <c r="O242" s="30"/>
    </row>
    <row r="243" spans="1:15">
      <c r="A243" s="56" t="s">
        <v>227</v>
      </c>
      <c r="B243" s="579">
        <f>SUM('Egresos Reales'!B106)</f>
        <v>0</v>
      </c>
      <c r="C243" s="87">
        <f>SUM('Egresos Reales'!C106)</f>
        <v>0</v>
      </c>
      <c r="D243" s="87">
        <f>SUM('Egresos Reales'!D106)</f>
        <v>0</v>
      </c>
      <c r="E243" s="87">
        <f>SUM('Egresos Reales'!E106)</f>
        <v>0</v>
      </c>
      <c r="F243" s="87">
        <f>SUM('Egresos Reales'!F106)</f>
        <v>0</v>
      </c>
      <c r="G243" s="87">
        <f>SUM('Egresos Reales'!G106)</f>
        <v>0</v>
      </c>
      <c r="H243" s="87">
        <f>SUM('Egresos Reales'!H106)</f>
        <v>0</v>
      </c>
      <c r="I243" s="87">
        <f>SUM('Egresos Reales'!I106)</f>
        <v>0</v>
      </c>
      <c r="J243" s="87">
        <f>SUM('Egresos Reales'!J106)</f>
        <v>0</v>
      </c>
      <c r="K243" s="87">
        <f>SUM('Egresos Reales'!K106)</f>
        <v>0</v>
      </c>
      <c r="L243" s="87">
        <f>SUM('Egresos Reales'!L106)</f>
        <v>0</v>
      </c>
      <c r="M243" s="87">
        <f>SUM('Egresos Reales'!M106)</f>
        <v>0</v>
      </c>
      <c r="N243" s="87">
        <f t="shared" ref="N243:N289" si="91">SUM(B243:M243)</f>
        <v>0</v>
      </c>
      <c r="O243" s="30"/>
    </row>
    <row r="244" spans="1:15">
      <c r="A244" s="56" t="s">
        <v>228</v>
      </c>
      <c r="B244" s="579">
        <f>SUM('Egresos Reales'!B107)</f>
        <v>0</v>
      </c>
      <c r="C244" s="87">
        <f>SUM('Egresos Reales'!C107)</f>
        <v>0</v>
      </c>
      <c r="D244" s="87">
        <f>SUM('Egresos Reales'!D107)</f>
        <v>0</v>
      </c>
      <c r="E244" s="87">
        <f>SUM('Egresos Reales'!E107)</f>
        <v>0</v>
      </c>
      <c r="F244" s="87">
        <f>SUM('Egresos Reales'!F107)</f>
        <v>0</v>
      </c>
      <c r="G244" s="87">
        <f>SUM('Egresos Reales'!G107)</f>
        <v>0</v>
      </c>
      <c r="H244" s="87">
        <f>SUM('Egresos Reales'!H107)</f>
        <v>0</v>
      </c>
      <c r="I244" s="87">
        <f>SUM('Egresos Reales'!I107)</f>
        <v>0</v>
      </c>
      <c r="J244" s="87">
        <f>SUM('Egresos Reales'!J107)</f>
        <v>0</v>
      </c>
      <c r="K244" s="87">
        <f>SUM('Egresos Reales'!K107)</f>
        <v>0</v>
      </c>
      <c r="L244" s="87">
        <f>SUM('Egresos Reales'!L107)</f>
        <v>0</v>
      </c>
      <c r="M244" s="87">
        <f>SUM('Egresos Reales'!M107)</f>
        <v>0</v>
      </c>
      <c r="N244" s="87">
        <f t="shared" si="91"/>
        <v>0</v>
      </c>
      <c r="O244" s="30"/>
    </row>
    <row r="245" spans="1:15">
      <c r="A245" s="56" t="s">
        <v>230</v>
      </c>
      <c r="B245" s="579">
        <f>SUM('Egresos Reales'!B108)</f>
        <v>0</v>
      </c>
      <c r="C245" s="87">
        <f>SUM('Egresos Reales'!C108)</f>
        <v>0</v>
      </c>
      <c r="D245" s="87">
        <f>SUM('Egresos Reales'!D108)</f>
        <v>0</v>
      </c>
      <c r="E245" s="87">
        <f>SUM('Egresos Reales'!E108)</f>
        <v>0</v>
      </c>
      <c r="F245" s="87">
        <f>SUM('Egresos Reales'!F108)</f>
        <v>0</v>
      </c>
      <c r="G245" s="87">
        <f>SUM('Egresos Reales'!G108)</f>
        <v>0</v>
      </c>
      <c r="H245" s="87">
        <f>SUM('Egresos Reales'!H108)</f>
        <v>0</v>
      </c>
      <c r="I245" s="87">
        <f>SUM('Egresos Reales'!I108)</f>
        <v>0</v>
      </c>
      <c r="J245" s="87">
        <f>SUM('Egresos Reales'!J108)</f>
        <v>0</v>
      </c>
      <c r="K245" s="87">
        <f>SUM('Egresos Reales'!K108)</f>
        <v>0</v>
      </c>
      <c r="L245" s="87">
        <f>SUM('Egresos Reales'!L108)</f>
        <v>0</v>
      </c>
      <c r="M245" s="87">
        <f>SUM('Egresos Reales'!M108)</f>
        <v>0</v>
      </c>
      <c r="N245" s="87">
        <f t="shared" si="91"/>
        <v>0</v>
      </c>
      <c r="O245" s="30"/>
    </row>
    <row r="246" spans="1:15">
      <c r="A246" s="55" t="s">
        <v>320</v>
      </c>
      <c r="B246" s="579">
        <f>SUM('Egresos Reales'!B109)</f>
        <v>0</v>
      </c>
      <c r="C246" s="87">
        <f>SUM('Egresos Reales'!C109)</f>
        <v>0</v>
      </c>
      <c r="D246" s="87">
        <f>SUM('Egresos Reales'!D109)</f>
        <v>0</v>
      </c>
      <c r="E246" s="87">
        <f>SUM('Egresos Reales'!E109)</f>
        <v>0</v>
      </c>
      <c r="F246" s="87">
        <f>SUM('Egresos Reales'!F109)</f>
        <v>0</v>
      </c>
      <c r="G246" s="87">
        <f>SUM('Egresos Reales'!G109)</f>
        <v>0</v>
      </c>
      <c r="H246" s="87">
        <f>SUM('Egresos Reales'!H109)</f>
        <v>0</v>
      </c>
      <c r="I246" s="87">
        <f>SUM('Egresos Reales'!I109)</f>
        <v>0</v>
      </c>
      <c r="J246" s="87">
        <f>SUM('Egresos Reales'!J109)</f>
        <v>0</v>
      </c>
      <c r="K246" s="87">
        <f>SUM('Egresos Reales'!K109)</f>
        <v>0</v>
      </c>
      <c r="L246" s="87">
        <f>SUM('Egresos Reales'!L109)</f>
        <v>0</v>
      </c>
      <c r="M246" s="87">
        <f>SUM('Egresos Reales'!M109)</f>
        <v>0</v>
      </c>
      <c r="N246" s="87">
        <f t="shared" si="91"/>
        <v>0</v>
      </c>
      <c r="O246" s="30"/>
    </row>
    <row r="247" spans="1:15">
      <c r="A247" s="55" t="s">
        <v>321</v>
      </c>
      <c r="B247" s="579">
        <f>SUM('Egresos Reales'!B110)</f>
        <v>0</v>
      </c>
      <c r="C247" s="87">
        <f>SUM('Egresos Reales'!C110)</f>
        <v>0</v>
      </c>
      <c r="D247" s="87">
        <f>SUM('Egresos Reales'!D110)</f>
        <v>0</v>
      </c>
      <c r="E247" s="87">
        <f>SUM('Egresos Reales'!E110)</f>
        <v>0</v>
      </c>
      <c r="F247" s="87">
        <f>SUM('Egresos Reales'!F110)</f>
        <v>0</v>
      </c>
      <c r="G247" s="87">
        <f>SUM('Egresos Reales'!G110)</f>
        <v>0</v>
      </c>
      <c r="H247" s="87">
        <f>SUM('Egresos Reales'!H110)</f>
        <v>0</v>
      </c>
      <c r="I247" s="87">
        <f>SUM('Egresos Reales'!I110)</f>
        <v>0</v>
      </c>
      <c r="J247" s="87">
        <f>SUM('Egresos Reales'!J110)</f>
        <v>0</v>
      </c>
      <c r="K247" s="87">
        <f>SUM('Egresos Reales'!K110)</f>
        <v>0</v>
      </c>
      <c r="L247" s="87">
        <f>SUM('Egresos Reales'!L110)</f>
        <v>0</v>
      </c>
      <c r="M247" s="87">
        <f>SUM('Egresos Reales'!M110)</f>
        <v>0</v>
      </c>
      <c r="N247" s="87">
        <f t="shared" si="91"/>
        <v>0</v>
      </c>
      <c r="O247" s="30"/>
    </row>
    <row r="248" spans="1:15">
      <c r="A248" s="55" t="s">
        <v>322</v>
      </c>
      <c r="B248" s="579">
        <f>SUM('Egresos Reales'!B111)</f>
        <v>0</v>
      </c>
      <c r="C248" s="87">
        <f>SUM('Egresos Reales'!C111)</f>
        <v>0</v>
      </c>
      <c r="D248" s="87">
        <f>SUM('Egresos Reales'!D111)</f>
        <v>0</v>
      </c>
      <c r="E248" s="87">
        <f>SUM('Egresos Reales'!E111)</f>
        <v>0</v>
      </c>
      <c r="F248" s="87">
        <f>SUM('Egresos Reales'!F111)</f>
        <v>0</v>
      </c>
      <c r="G248" s="87">
        <f>SUM('Egresos Reales'!G111)</f>
        <v>0</v>
      </c>
      <c r="H248" s="87">
        <f>SUM('Egresos Reales'!H111)</f>
        <v>0</v>
      </c>
      <c r="I248" s="87">
        <f>SUM('Egresos Reales'!I111)</f>
        <v>0</v>
      </c>
      <c r="J248" s="87">
        <f>SUM('Egresos Reales'!J111)</f>
        <v>0</v>
      </c>
      <c r="K248" s="87">
        <f>SUM('Egresos Reales'!K111)</f>
        <v>0</v>
      </c>
      <c r="L248" s="87">
        <f>SUM('Egresos Reales'!L111)</f>
        <v>0</v>
      </c>
      <c r="M248" s="87">
        <f>SUM('Egresos Reales'!M111)</f>
        <v>0</v>
      </c>
      <c r="N248" s="87">
        <f t="shared" si="91"/>
        <v>0</v>
      </c>
      <c r="O248" s="30"/>
    </row>
    <row r="249" spans="1:15">
      <c r="A249" s="55" t="s">
        <v>349</v>
      </c>
      <c r="B249" s="579">
        <f>SUM('Egresos Reales'!B112)</f>
        <v>0</v>
      </c>
      <c r="C249" s="87">
        <f>SUM('Egresos Reales'!C112)</f>
        <v>0</v>
      </c>
      <c r="D249" s="87">
        <f>SUM('Egresos Reales'!D112)</f>
        <v>0</v>
      </c>
      <c r="E249" s="87">
        <f>SUM('Egresos Reales'!E112)</f>
        <v>0</v>
      </c>
      <c r="F249" s="87">
        <f>SUM('Egresos Reales'!F112)</f>
        <v>0</v>
      </c>
      <c r="G249" s="87">
        <f>SUM('Egresos Reales'!G112)</f>
        <v>0</v>
      </c>
      <c r="H249" s="87">
        <f>SUM('Egresos Reales'!H112)</f>
        <v>0</v>
      </c>
      <c r="I249" s="87">
        <f>SUM('Egresos Reales'!I112)</f>
        <v>0</v>
      </c>
      <c r="J249" s="87">
        <f>SUM('Egresos Reales'!J112)</f>
        <v>0</v>
      </c>
      <c r="K249" s="87">
        <f>SUM('Egresos Reales'!K112)</f>
        <v>0</v>
      </c>
      <c r="L249" s="87">
        <f>SUM('Egresos Reales'!L112)</f>
        <v>0</v>
      </c>
      <c r="M249" s="87">
        <f>SUM('Egresos Reales'!M112)</f>
        <v>0</v>
      </c>
      <c r="N249" s="87">
        <f t="shared" si="91"/>
        <v>0</v>
      </c>
      <c r="O249" s="30"/>
    </row>
    <row r="250" spans="1:15">
      <c r="A250" s="55" t="s">
        <v>323</v>
      </c>
      <c r="B250" s="579">
        <f>SUM('Egresos Reales'!B113)</f>
        <v>0</v>
      </c>
      <c r="C250" s="87">
        <f>SUM('Egresos Reales'!C113)</f>
        <v>0</v>
      </c>
      <c r="D250" s="87">
        <f>SUM('Egresos Reales'!D113)</f>
        <v>0</v>
      </c>
      <c r="E250" s="87">
        <f>SUM('Egresos Reales'!E113)</f>
        <v>0</v>
      </c>
      <c r="F250" s="87">
        <f>SUM('Egresos Reales'!F113)</f>
        <v>0</v>
      </c>
      <c r="G250" s="87">
        <f>SUM('Egresos Reales'!G113)</f>
        <v>0</v>
      </c>
      <c r="H250" s="87">
        <f>SUM('Egresos Reales'!H113)</f>
        <v>0</v>
      </c>
      <c r="I250" s="87">
        <f>SUM('Egresos Reales'!I113)</f>
        <v>0</v>
      </c>
      <c r="J250" s="87">
        <f>SUM('Egresos Reales'!J113)</f>
        <v>0</v>
      </c>
      <c r="K250" s="87">
        <f>SUM('Egresos Reales'!K113)</f>
        <v>0</v>
      </c>
      <c r="L250" s="87">
        <f>SUM('Egresos Reales'!L113)</f>
        <v>0</v>
      </c>
      <c r="M250" s="87">
        <f>SUM('Egresos Reales'!M113)</f>
        <v>0</v>
      </c>
      <c r="N250" s="87">
        <f t="shared" si="91"/>
        <v>0</v>
      </c>
      <c r="O250" s="30"/>
    </row>
    <row r="251" spans="1:15">
      <c r="A251" s="55" t="s">
        <v>324</v>
      </c>
      <c r="B251" s="579">
        <f>SUM('Egresos Reales'!B114)</f>
        <v>0</v>
      </c>
      <c r="C251" s="87">
        <f>SUM('Egresos Reales'!C114)</f>
        <v>0</v>
      </c>
      <c r="D251" s="87">
        <f>SUM('Egresos Reales'!D114)</f>
        <v>0</v>
      </c>
      <c r="E251" s="87">
        <f>SUM('Egresos Reales'!E114)</f>
        <v>0</v>
      </c>
      <c r="F251" s="87">
        <f>SUM('Egresos Reales'!F114)</f>
        <v>0</v>
      </c>
      <c r="G251" s="87">
        <f>SUM('Egresos Reales'!G114)</f>
        <v>0</v>
      </c>
      <c r="H251" s="87">
        <f>SUM('Egresos Reales'!H114)</f>
        <v>0</v>
      </c>
      <c r="I251" s="87">
        <f>SUM('Egresos Reales'!I114)</f>
        <v>0</v>
      </c>
      <c r="J251" s="87">
        <f>SUM('Egresos Reales'!J114)</f>
        <v>0</v>
      </c>
      <c r="K251" s="87">
        <f>SUM('Egresos Reales'!K114)</f>
        <v>0</v>
      </c>
      <c r="L251" s="87">
        <f>SUM('Egresos Reales'!L114)</f>
        <v>0</v>
      </c>
      <c r="M251" s="87">
        <f>SUM('Egresos Reales'!M114)</f>
        <v>0</v>
      </c>
      <c r="N251" s="87">
        <f t="shared" si="91"/>
        <v>0</v>
      </c>
      <c r="O251" s="30"/>
    </row>
    <row r="252" spans="1:15">
      <c r="A252" s="55" t="s">
        <v>325</v>
      </c>
      <c r="B252" s="579">
        <f>SUM('Egresos Reales'!B115)</f>
        <v>0</v>
      </c>
      <c r="C252" s="87">
        <f>SUM('Egresos Reales'!C115)</f>
        <v>0</v>
      </c>
      <c r="D252" s="87">
        <f>SUM('Egresos Reales'!D115)</f>
        <v>0</v>
      </c>
      <c r="E252" s="87">
        <f>SUM('Egresos Reales'!E115)</f>
        <v>0</v>
      </c>
      <c r="F252" s="87">
        <f>SUM('Egresos Reales'!F115)</f>
        <v>0</v>
      </c>
      <c r="G252" s="87">
        <f>SUM('Egresos Reales'!G115)</f>
        <v>0</v>
      </c>
      <c r="H252" s="87">
        <f>SUM('Egresos Reales'!H115)</f>
        <v>0</v>
      </c>
      <c r="I252" s="87">
        <f>SUM('Egresos Reales'!I115)</f>
        <v>0</v>
      </c>
      <c r="J252" s="87">
        <f>SUM('Egresos Reales'!J115)</f>
        <v>0</v>
      </c>
      <c r="K252" s="87">
        <f>SUM('Egresos Reales'!K115)</f>
        <v>0</v>
      </c>
      <c r="L252" s="87">
        <f>SUM('Egresos Reales'!L115)</f>
        <v>0</v>
      </c>
      <c r="M252" s="87">
        <f>SUM('Egresos Reales'!M115)</f>
        <v>0</v>
      </c>
      <c r="N252" s="87">
        <f t="shared" si="91"/>
        <v>0</v>
      </c>
      <c r="O252" s="30"/>
    </row>
    <row r="253" spans="1:15">
      <c r="A253" s="55" t="s">
        <v>526</v>
      </c>
      <c r="B253" s="579">
        <f>SUM('Egresos Reales'!B116)</f>
        <v>0</v>
      </c>
      <c r="C253" s="87">
        <f>SUM('Egresos Reales'!C116)</f>
        <v>287932.84000000003</v>
      </c>
      <c r="D253" s="87">
        <f>SUM('Egresos Reales'!D116)</f>
        <v>0</v>
      </c>
      <c r="E253" s="87">
        <f>SUM('Egresos Reales'!E116)</f>
        <v>0</v>
      </c>
      <c r="F253" s="87">
        <f>SUM('Egresos Reales'!F116)</f>
        <v>0</v>
      </c>
      <c r="G253" s="87">
        <f>SUM('Egresos Reales'!G116)</f>
        <v>0</v>
      </c>
      <c r="H253" s="87">
        <f>SUM('Egresos Reales'!H116)</f>
        <v>0</v>
      </c>
      <c r="I253" s="87">
        <f>SUM('Egresos Reales'!I116)</f>
        <v>0</v>
      </c>
      <c r="J253" s="87">
        <f>SUM('Egresos Reales'!J116)</f>
        <v>201472.73</v>
      </c>
      <c r="K253" s="87">
        <f>SUM('Egresos Reales'!K116)</f>
        <v>0</v>
      </c>
      <c r="L253" s="87">
        <f>SUM('Egresos Reales'!L116)</f>
        <v>0</v>
      </c>
      <c r="M253" s="87">
        <f>SUM('Egresos Reales'!M116)</f>
        <v>0</v>
      </c>
      <c r="N253" s="87">
        <f t="shared" si="91"/>
        <v>489405.57000000007</v>
      </c>
      <c r="O253" s="30"/>
    </row>
    <row r="254" spans="1:15">
      <c r="A254" s="55" t="s">
        <v>592</v>
      </c>
      <c r="B254" s="579">
        <f>SUM('Egresos Reales'!B117)</f>
        <v>2626661.54</v>
      </c>
      <c r="C254" s="87">
        <f>SUM('Egresos Reales'!C117)</f>
        <v>438910.81</v>
      </c>
      <c r="D254" s="87">
        <f>SUM('Egresos Reales'!D117)</f>
        <v>1485036.19</v>
      </c>
      <c r="E254" s="87">
        <f>SUM('Egresos Reales'!E117)</f>
        <v>0</v>
      </c>
      <c r="F254" s="87">
        <f>SUM('Egresos Reales'!F117)</f>
        <v>127919.07</v>
      </c>
      <c r="G254" s="87">
        <f>SUM('Egresos Reales'!G117)</f>
        <v>446748.52</v>
      </c>
      <c r="H254" s="87">
        <f>SUM('Egresos Reales'!H117)</f>
        <v>0</v>
      </c>
      <c r="I254" s="87">
        <f>SUM('Egresos Reales'!I117)</f>
        <v>0</v>
      </c>
      <c r="J254" s="87">
        <f>SUM('Egresos Reales'!J117)</f>
        <v>0</v>
      </c>
      <c r="K254" s="87">
        <f>SUM('Egresos Reales'!K117)</f>
        <v>0</v>
      </c>
      <c r="L254" s="87">
        <f>SUM('Egresos Reales'!L117)</f>
        <v>241621.78</v>
      </c>
      <c r="M254" s="87">
        <f>SUM('Egresos Reales'!M117)</f>
        <v>0</v>
      </c>
      <c r="N254" s="87">
        <f t="shared" si="91"/>
        <v>5366897.9100000011</v>
      </c>
      <c r="O254" s="30"/>
    </row>
    <row r="255" spans="1:15">
      <c r="A255" s="55" t="s">
        <v>364</v>
      </c>
      <c r="B255" s="579">
        <f>SUM('Egresos Reales'!B118)</f>
        <v>7021.02</v>
      </c>
      <c r="C255" s="87">
        <f>SUM('Egresos Reales'!C118)</f>
        <v>4908.79</v>
      </c>
      <c r="D255" s="87">
        <f>SUM('Egresos Reales'!D118)</f>
        <v>40722.9</v>
      </c>
      <c r="E255" s="87">
        <f>SUM('Egresos Reales'!E118)</f>
        <v>-8058.47</v>
      </c>
      <c r="F255" s="87">
        <f>SUM('Egresos Reales'!F118)</f>
        <v>104759.86</v>
      </c>
      <c r="G255" s="87">
        <f>SUM('Egresos Reales'!G118)</f>
        <v>688548.92</v>
      </c>
      <c r="H255" s="87">
        <f>SUM('Egresos Reales'!H118)</f>
        <v>30246.89</v>
      </c>
      <c r="I255" s="87">
        <f>SUM('Egresos Reales'!I118)</f>
        <v>3033.65</v>
      </c>
      <c r="J255" s="87">
        <f>SUM('Egresos Reales'!J118)</f>
        <v>31640.48</v>
      </c>
      <c r="K255" s="87">
        <f>SUM('Egresos Reales'!K118)</f>
        <v>1085.68</v>
      </c>
      <c r="L255" s="87">
        <f>SUM('Egresos Reales'!L118)</f>
        <v>749.68</v>
      </c>
      <c r="M255" s="87">
        <f>SUM('Egresos Reales'!M118)</f>
        <v>13969.3</v>
      </c>
      <c r="N255" s="87">
        <f t="shared" si="91"/>
        <v>918628.70000000019</v>
      </c>
      <c r="O255" s="30"/>
    </row>
    <row r="256" spans="1:15">
      <c r="A256" s="55" t="s">
        <v>365</v>
      </c>
      <c r="B256" s="579">
        <f>SUM('Egresos Reales'!B119)</f>
        <v>867635.26</v>
      </c>
      <c r="C256" s="87">
        <f>SUM('Egresos Reales'!C119)</f>
        <v>1133726.26</v>
      </c>
      <c r="D256" s="87">
        <f>SUM('Egresos Reales'!D119)</f>
        <v>2624422.13</v>
      </c>
      <c r="E256" s="87">
        <f>SUM('Egresos Reales'!E119)</f>
        <v>1080841.8999999999</v>
      </c>
      <c r="F256" s="87">
        <f>SUM('Egresos Reales'!F119)</f>
        <v>4596826.91</v>
      </c>
      <c r="G256" s="87">
        <f>SUM('Egresos Reales'!G119)</f>
        <v>1519661.92</v>
      </c>
      <c r="H256" s="87">
        <f>SUM('Egresos Reales'!H119)</f>
        <v>1173865.81</v>
      </c>
      <c r="I256" s="87">
        <f>SUM('Egresos Reales'!I119)</f>
        <v>1196533.03</v>
      </c>
      <c r="J256" s="87">
        <f>SUM('Egresos Reales'!J119)</f>
        <v>3112788.73</v>
      </c>
      <c r="K256" s="87">
        <f>SUM('Egresos Reales'!K119)</f>
        <v>1830071.33</v>
      </c>
      <c r="L256" s="87">
        <f>SUM('Egresos Reales'!L119)</f>
        <v>2965844.06</v>
      </c>
      <c r="M256" s="87">
        <f>SUM('Egresos Reales'!M119)</f>
        <v>3117135.4</v>
      </c>
      <c r="N256" s="87">
        <f t="shared" si="91"/>
        <v>25219352.739999998</v>
      </c>
      <c r="O256" s="30"/>
    </row>
    <row r="257" spans="1:15">
      <c r="A257" s="55" t="s">
        <v>438</v>
      </c>
      <c r="B257" s="579">
        <f>SUM('Egresos Reales'!B120)</f>
        <v>0</v>
      </c>
      <c r="C257" s="87">
        <f>SUM('Egresos Reales'!C120)</f>
        <v>0</v>
      </c>
      <c r="D257" s="87">
        <f>SUM('Egresos Reales'!D120)</f>
        <v>0</v>
      </c>
      <c r="E257" s="87">
        <f>SUM('Egresos Reales'!E120)</f>
        <v>0</v>
      </c>
      <c r="F257" s="87">
        <f>SUM('Egresos Reales'!F120)</f>
        <v>0</v>
      </c>
      <c r="G257" s="87">
        <f>SUM('Egresos Reales'!G120)</f>
        <v>0</v>
      </c>
      <c r="H257" s="87">
        <f>SUM('Egresos Reales'!H120)</f>
        <v>0</v>
      </c>
      <c r="I257" s="87">
        <f>SUM('Egresos Reales'!I120)</f>
        <v>0</v>
      </c>
      <c r="J257" s="87">
        <f>SUM('Egresos Reales'!J120)</f>
        <v>0</v>
      </c>
      <c r="K257" s="87">
        <f>SUM('Egresos Reales'!K120)</f>
        <v>0</v>
      </c>
      <c r="L257" s="87">
        <f>SUM('Egresos Reales'!L120)</f>
        <v>0</v>
      </c>
      <c r="M257" s="87">
        <f>SUM('Egresos Reales'!M120)</f>
        <v>0</v>
      </c>
      <c r="N257" s="87">
        <f t="shared" si="91"/>
        <v>0</v>
      </c>
      <c r="O257" s="30"/>
    </row>
    <row r="258" spans="1:15">
      <c r="A258" s="55" t="s">
        <v>527</v>
      </c>
      <c r="B258" s="579">
        <f>SUM('Egresos Reales'!B121)</f>
        <v>0</v>
      </c>
      <c r="C258" s="87">
        <f>SUM('Egresos Reales'!C121)</f>
        <v>0</v>
      </c>
      <c r="D258" s="87">
        <f>SUM('Egresos Reales'!D121)</f>
        <v>0</v>
      </c>
      <c r="E258" s="87">
        <f>SUM('Egresos Reales'!E121)</f>
        <v>0</v>
      </c>
      <c r="F258" s="87">
        <f>SUM('Egresos Reales'!F121)</f>
        <v>0</v>
      </c>
      <c r="G258" s="87">
        <f>SUM('Egresos Reales'!G121)</f>
        <v>0</v>
      </c>
      <c r="H258" s="87">
        <f>SUM('Egresos Reales'!H121)</f>
        <v>0</v>
      </c>
      <c r="I258" s="87">
        <f>SUM('Egresos Reales'!I121)</f>
        <v>0</v>
      </c>
      <c r="J258" s="87">
        <f>SUM('Egresos Reales'!J121)</f>
        <v>0</v>
      </c>
      <c r="K258" s="87">
        <f>SUM('Egresos Reales'!K121)</f>
        <v>0</v>
      </c>
      <c r="L258" s="87">
        <f>SUM('Egresos Reales'!L121)</f>
        <v>0</v>
      </c>
      <c r="M258" s="87">
        <f>SUM('Egresos Reales'!M121)</f>
        <v>0</v>
      </c>
      <c r="N258" s="87">
        <f t="shared" si="91"/>
        <v>0</v>
      </c>
      <c r="O258" s="30"/>
    </row>
    <row r="259" spans="1:15">
      <c r="A259" s="55" t="s">
        <v>593</v>
      </c>
      <c r="B259" s="579">
        <f>SUM('Egresos Reales'!B122)</f>
        <v>1541880.45</v>
      </c>
      <c r="C259" s="87">
        <f>SUM('Egresos Reales'!C122)</f>
        <v>1605392.11</v>
      </c>
      <c r="D259" s="87">
        <f>SUM('Egresos Reales'!D122)</f>
        <v>2878599.95</v>
      </c>
      <c r="E259" s="87">
        <f>SUM('Egresos Reales'!E122)</f>
        <v>0</v>
      </c>
      <c r="F259" s="87">
        <f>SUM('Egresos Reales'!F122)</f>
        <v>1767661.2</v>
      </c>
      <c r="G259" s="87">
        <f>SUM('Egresos Reales'!G122)</f>
        <v>893168.9</v>
      </c>
      <c r="H259" s="87">
        <f>SUM('Egresos Reales'!H122)</f>
        <v>30795.56</v>
      </c>
      <c r="I259" s="87">
        <f>SUM('Egresos Reales'!I122)</f>
        <v>1695329.33</v>
      </c>
      <c r="J259" s="87">
        <f>SUM('Egresos Reales'!J122)</f>
        <v>2100041.17</v>
      </c>
      <c r="K259" s="87">
        <f>SUM('Egresos Reales'!K122)</f>
        <v>0</v>
      </c>
      <c r="L259" s="87">
        <f>SUM('Egresos Reales'!L122)</f>
        <v>255234.03</v>
      </c>
      <c r="M259" s="87">
        <f>SUM('Egresos Reales'!M122)</f>
        <v>0</v>
      </c>
      <c r="N259" s="87">
        <f t="shared" si="91"/>
        <v>12768102.699999999</v>
      </c>
      <c r="O259" s="30"/>
    </row>
    <row r="260" spans="1:15">
      <c r="A260" s="6" t="s">
        <v>451</v>
      </c>
      <c r="B260" s="579">
        <f>SUM('Egresos Reales'!B123)</f>
        <v>0</v>
      </c>
      <c r="C260" s="87">
        <f>SUM('Egresos Reales'!C123)</f>
        <v>0</v>
      </c>
      <c r="D260" s="87">
        <f>SUM('Egresos Reales'!D123)</f>
        <v>0</v>
      </c>
      <c r="E260" s="87">
        <f>SUM('Egresos Reales'!E123)</f>
        <v>0</v>
      </c>
      <c r="F260" s="87">
        <f>SUM('Egresos Reales'!F123)</f>
        <v>0</v>
      </c>
      <c r="G260" s="87">
        <f>SUM('Egresos Reales'!G123)</f>
        <v>0</v>
      </c>
      <c r="H260" s="87">
        <f>SUM('Egresos Reales'!H123)</f>
        <v>0</v>
      </c>
      <c r="I260" s="87">
        <f>SUM('Egresos Reales'!I123)</f>
        <v>0</v>
      </c>
      <c r="J260" s="87">
        <f>SUM('Egresos Reales'!J123)</f>
        <v>0</v>
      </c>
      <c r="K260" s="87">
        <f>SUM('Egresos Reales'!K123)</f>
        <v>0</v>
      </c>
      <c r="L260" s="87">
        <f>SUM('Egresos Reales'!L123)</f>
        <v>0</v>
      </c>
      <c r="M260" s="87">
        <f>SUM('Egresos Reales'!M123)</f>
        <v>0</v>
      </c>
      <c r="N260" s="87">
        <f t="shared" si="91"/>
        <v>0</v>
      </c>
      <c r="O260" s="30"/>
    </row>
    <row r="261" spans="1:15">
      <c r="A261" s="6" t="s">
        <v>528</v>
      </c>
      <c r="B261" s="579">
        <f>SUM('Egresos Reales'!B124)</f>
        <v>0</v>
      </c>
      <c r="C261" s="87">
        <f>SUM('Egresos Reales'!C124)</f>
        <v>0</v>
      </c>
      <c r="D261" s="87">
        <f>SUM('Egresos Reales'!D124)</f>
        <v>0</v>
      </c>
      <c r="E261" s="87">
        <f>SUM('Egresos Reales'!E124)</f>
        <v>0</v>
      </c>
      <c r="F261" s="87">
        <f>SUM('Egresos Reales'!F124)</f>
        <v>0</v>
      </c>
      <c r="G261" s="87">
        <f>SUM('Egresos Reales'!G124)</f>
        <v>0</v>
      </c>
      <c r="H261" s="87">
        <f>SUM('Egresos Reales'!H124)</f>
        <v>0</v>
      </c>
      <c r="I261" s="87">
        <f>SUM('Egresos Reales'!I124)</f>
        <v>0</v>
      </c>
      <c r="J261" s="87">
        <f>SUM('Egresos Reales'!J124)</f>
        <v>0</v>
      </c>
      <c r="K261" s="87">
        <f>SUM('Egresos Reales'!K124)</f>
        <v>0</v>
      </c>
      <c r="L261" s="87">
        <f>SUM('Egresos Reales'!L124)</f>
        <v>0</v>
      </c>
      <c r="M261" s="87">
        <f>SUM('Egresos Reales'!M124)</f>
        <v>0</v>
      </c>
      <c r="N261" s="87">
        <f t="shared" si="91"/>
        <v>0</v>
      </c>
      <c r="O261" s="30"/>
    </row>
    <row r="262" spans="1:15">
      <c r="A262" s="6" t="s">
        <v>594</v>
      </c>
      <c r="B262" s="579">
        <f>SUM('Egresos Reales'!B125)</f>
        <v>0</v>
      </c>
      <c r="C262" s="87">
        <f>SUM('Egresos Reales'!C125)</f>
        <v>0</v>
      </c>
      <c r="D262" s="87">
        <f>SUM('Egresos Reales'!D125)</f>
        <v>1114724.33</v>
      </c>
      <c r="E262" s="87">
        <f>SUM('Egresos Reales'!E125)</f>
        <v>0</v>
      </c>
      <c r="F262" s="87">
        <f>SUM('Egresos Reales'!F125)</f>
        <v>0</v>
      </c>
      <c r="G262" s="87">
        <f>SUM('Egresos Reales'!G125)</f>
        <v>2782873.15</v>
      </c>
      <c r="H262" s="87">
        <f>SUM('Egresos Reales'!H125)</f>
        <v>2334357.3199999998</v>
      </c>
      <c r="I262" s="87">
        <f>SUM('Egresos Reales'!I125)</f>
        <v>852511.43</v>
      </c>
      <c r="J262" s="87">
        <f>SUM('Egresos Reales'!J125)</f>
        <v>0</v>
      </c>
      <c r="K262" s="87">
        <f>SUM('Egresos Reales'!K125)</f>
        <v>1087634.54</v>
      </c>
      <c r="L262" s="87">
        <f>SUM('Egresos Reales'!L125)</f>
        <v>1242013.44</v>
      </c>
      <c r="M262" s="87">
        <f>SUM('Egresos Reales'!M125)</f>
        <v>0</v>
      </c>
      <c r="N262" s="87">
        <f t="shared" si="91"/>
        <v>9414114.209999999</v>
      </c>
      <c r="O262" s="30"/>
    </row>
    <row r="263" spans="1:15">
      <c r="A263" s="6" t="s">
        <v>452</v>
      </c>
      <c r="B263" s="579">
        <f>SUM('Egresos Reales'!B126)</f>
        <v>0</v>
      </c>
      <c r="C263" s="87">
        <f>SUM('Egresos Reales'!C126)</f>
        <v>338100</v>
      </c>
      <c r="D263" s="87">
        <f>SUM('Egresos Reales'!D126)</f>
        <v>52.05</v>
      </c>
      <c r="E263" s="87">
        <f>SUM('Egresos Reales'!E126)</f>
        <v>0</v>
      </c>
      <c r="F263" s="87">
        <f>SUM('Egresos Reales'!F126)</f>
        <v>203</v>
      </c>
      <c r="G263" s="87">
        <f>SUM('Egresos Reales'!G126)</f>
        <v>0</v>
      </c>
      <c r="H263" s="87">
        <f>SUM('Egresos Reales'!H126)</f>
        <v>0</v>
      </c>
      <c r="I263" s="87">
        <f>SUM('Egresos Reales'!I126)</f>
        <v>0</v>
      </c>
      <c r="J263" s="87">
        <f>SUM('Egresos Reales'!J126)</f>
        <v>0</v>
      </c>
      <c r="K263" s="87">
        <f>SUM('Egresos Reales'!K126)</f>
        <v>0</v>
      </c>
      <c r="L263" s="87">
        <f>SUM('Egresos Reales'!L126)</f>
        <v>0</v>
      </c>
      <c r="M263" s="87">
        <f>SUM('Egresos Reales'!M126)</f>
        <v>0</v>
      </c>
      <c r="N263" s="87">
        <f t="shared" si="91"/>
        <v>338355.05</v>
      </c>
      <c r="O263" s="30"/>
    </row>
    <row r="264" spans="1:15">
      <c r="A264" s="6" t="s">
        <v>529</v>
      </c>
      <c r="B264" s="579">
        <f>SUM('Egresos Reales'!B127)</f>
        <v>0</v>
      </c>
      <c r="C264" s="87">
        <f>SUM('Egresos Reales'!C127)</f>
        <v>0</v>
      </c>
      <c r="D264" s="87">
        <f>SUM('Egresos Reales'!D127)</f>
        <v>13.49</v>
      </c>
      <c r="E264" s="87">
        <f>SUM('Egresos Reales'!E127)</f>
        <v>203</v>
      </c>
      <c r="F264" s="87">
        <f>SUM('Egresos Reales'!F127)</f>
        <v>203</v>
      </c>
      <c r="G264" s="87">
        <f>SUM('Egresos Reales'!G127)</f>
        <v>0</v>
      </c>
      <c r="H264" s="87">
        <f>SUM('Egresos Reales'!H127)</f>
        <v>0</v>
      </c>
      <c r="I264" s="87">
        <f>SUM('Egresos Reales'!I127)</f>
        <v>0</v>
      </c>
      <c r="J264" s="87">
        <f>SUM('Egresos Reales'!J127)</f>
        <v>0</v>
      </c>
      <c r="K264" s="87">
        <f>SUM('Egresos Reales'!K127)</f>
        <v>0</v>
      </c>
      <c r="L264" s="87">
        <f>SUM('Egresos Reales'!L127)</f>
        <v>0</v>
      </c>
      <c r="M264" s="87">
        <f>SUM('Egresos Reales'!M127)</f>
        <v>0</v>
      </c>
      <c r="N264" s="87">
        <f t="shared" si="91"/>
        <v>419.49</v>
      </c>
      <c r="O264" s="30"/>
    </row>
    <row r="265" spans="1:15">
      <c r="A265" s="6" t="s">
        <v>595</v>
      </c>
      <c r="B265" s="579">
        <f>SUM('Egresos Reales'!B128)</f>
        <v>867865.2</v>
      </c>
      <c r="C265" s="87">
        <f>SUM('Egresos Reales'!C128)</f>
        <v>208109</v>
      </c>
      <c r="D265" s="87">
        <f>SUM('Egresos Reales'!D128)</f>
        <v>455730.72</v>
      </c>
      <c r="E265" s="87">
        <f>SUM('Egresos Reales'!E128)</f>
        <v>422866.89</v>
      </c>
      <c r="F265" s="87">
        <f>SUM('Egresos Reales'!F128)</f>
        <v>905817.49</v>
      </c>
      <c r="G265" s="87">
        <f>SUM('Egresos Reales'!G128)</f>
        <v>134837.6</v>
      </c>
      <c r="H265" s="87">
        <f>SUM('Egresos Reales'!H128)</f>
        <v>128759</v>
      </c>
      <c r="I265" s="87">
        <f>SUM('Egresos Reales'!I128)</f>
        <v>122302</v>
      </c>
      <c r="J265" s="87">
        <f>SUM('Egresos Reales'!J128)</f>
        <v>111238</v>
      </c>
      <c r="K265" s="87">
        <f>SUM('Egresos Reales'!K128)</f>
        <v>82542</v>
      </c>
      <c r="L265" s="87">
        <f>SUM('Egresos Reales'!L128)</f>
        <v>74433</v>
      </c>
      <c r="M265" s="87">
        <f>SUM('Egresos Reales'!M128)</f>
        <v>0</v>
      </c>
      <c r="N265" s="87">
        <f t="shared" si="91"/>
        <v>3514500.9</v>
      </c>
      <c r="O265" s="30"/>
    </row>
    <row r="266" spans="1:15">
      <c r="A266" s="248" t="s">
        <v>1162</v>
      </c>
      <c r="B266" s="579">
        <f>SUM('Egresos Reales'!B129)</f>
        <v>0</v>
      </c>
      <c r="C266" s="87">
        <f>SUM('Egresos Reales'!C129)</f>
        <v>0</v>
      </c>
      <c r="D266" s="87">
        <f>SUM('Egresos Reales'!D129)</f>
        <v>0</v>
      </c>
      <c r="E266" s="87">
        <f>SUM('Egresos Reales'!E129)</f>
        <v>0</v>
      </c>
      <c r="F266" s="87">
        <f>SUM('Egresos Reales'!F129)</f>
        <v>3636374.51</v>
      </c>
      <c r="G266" s="87">
        <f>SUM('Egresos Reales'!G129)</f>
        <v>42011.6</v>
      </c>
      <c r="H266" s="87">
        <f>SUM('Egresos Reales'!H129)</f>
        <v>483511.6</v>
      </c>
      <c r="I266" s="87">
        <f>SUM('Egresos Reales'!I129)</f>
        <v>104000</v>
      </c>
      <c r="J266" s="87">
        <f>SUM('Egresos Reales'!J129)</f>
        <v>1905500</v>
      </c>
      <c r="K266" s="87">
        <f>SUM('Egresos Reales'!K129)</f>
        <v>1151965.23</v>
      </c>
      <c r="L266" s="87">
        <f>SUM('Egresos Reales'!L129)</f>
        <v>3376055.41</v>
      </c>
      <c r="M266" s="87">
        <f>SUM('Egresos Reales'!M129)</f>
        <v>-272074</v>
      </c>
      <c r="N266" s="87">
        <f t="shared" si="91"/>
        <v>10427344.35</v>
      </c>
      <c r="O266" s="30"/>
    </row>
    <row r="267" spans="1:15">
      <c r="A267" s="55" t="s">
        <v>453</v>
      </c>
      <c r="B267" s="579">
        <f>SUM('Egresos Reales'!B130)</f>
        <v>0</v>
      </c>
      <c r="C267" s="87">
        <f>SUM('Egresos Reales'!C130)</f>
        <v>0</v>
      </c>
      <c r="D267" s="87">
        <f>SUM('Egresos Reales'!D130)</f>
        <v>0</v>
      </c>
      <c r="E267" s="87">
        <f>SUM('Egresos Reales'!E130)</f>
        <v>0</v>
      </c>
      <c r="F267" s="87">
        <f>SUM('Egresos Reales'!F130)</f>
        <v>0</v>
      </c>
      <c r="G267" s="87">
        <f>SUM('Egresos Reales'!G130)</f>
        <v>0</v>
      </c>
      <c r="H267" s="87">
        <f>SUM('Egresos Reales'!H130)</f>
        <v>0</v>
      </c>
      <c r="I267" s="87">
        <f>SUM('Egresos Reales'!I130)</f>
        <v>0</v>
      </c>
      <c r="J267" s="87">
        <f>SUM('Egresos Reales'!J130)</f>
        <v>0</v>
      </c>
      <c r="K267" s="87">
        <f>SUM('Egresos Reales'!K130)</f>
        <v>0</v>
      </c>
      <c r="L267" s="87">
        <f>SUM('Egresos Reales'!L130)</f>
        <v>0</v>
      </c>
      <c r="M267" s="87">
        <f>SUM('Egresos Reales'!M130)</f>
        <v>0</v>
      </c>
      <c r="N267" s="87">
        <f t="shared" si="91"/>
        <v>0</v>
      </c>
      <c r="O267" s="30"/>
    </row>
    <row r="268" spans="1:15">
      <c r="A268" s="55" t="s">
        <v>462</v>
      </c>
      <c r="B268" s="579">
        <f>SUM('Egresos Reales'!B131)</f>
        <v>0</v>
      </c>
      <c r="C268" s="87">
        <f>SUM('Egresos Reales'!C131)</f>
        <v>0</v>
      </c>
      <c r="D268" s="87">
        <f>SUM('Egresos Reales'!D131)</f>
        <v>0</v>
      </c>
      <c r="E268" s="87">
        <f>SUM('Egresos Reales'!E131)</f>
        <v>0</v>
      </c>
      <c r="F268" s="87">
        <f>SUM('Egresos Reales'!F131)</f>
        <v>0</v>
      </c>
      <c r="G268" s="87">
        <f>SUM('Egresos Reales'!G131)</f>
        <v>0</v>
      </c>
      <c r="H268" s="87">
        <f>SUM('Egresos Reales'!H131)</f>
        <v>0</v>
      </c>
      <c r="I268" s="87">
        <f>SUM('Egresos Reales'!I131)</f>
        <v>0</v>
      </c>
      <c r="J268" s="87">
        <f>SUM('Egresos Reales'!J131)</f>
        <v>0</v>
      </c>
      <c r="K268" s="87">
        <f>SUM('Egresos Reales'!K131)</f>
        <v>0</v>
      </c>
      <c r="L268" s="87">
        <f>SUM('Egresos Reales'!L131)</f>
        <v>0</v>
      </c>
      <c r="M268" s="87">
        <f>SUM('Egresos Reales'!M131)</f>
        <v>0</v>
      </c>
      <c r="N268" s="87">
        <f t="shared" si="91"/>
        <v>0</v>
      </c>
      <c r="O268" s="30"/>
    </row>
    <row r="269" spans="1:15">
      <c r="A269" s="55" t="s">
        <v>530</v>
      </c>
      <c r="B269" s="579">
        <f>SUM('Egresos Reales'!B132)</f>
        <v>0</v>
      </c>
      <c r="C269" s="87">
        <f>SUM('Egresos Reales'!C132)</f>
        <v>0</v>
      </c>
      <c r="D269" s="87">
        <f>SUM('Egresos Reales'!D132)</f>
        <v>0</v>
      </c>
      <c r="E269" s="87">
        <f>SUM('Egresos Reales'!E132)</f>
        <v>0</v>
      </c>
      <c r="F269" s="87">
        <f>SUM('Egresos Reales'!F132)</f>
        <v>0</v>
      </c>
      <c r="G269" s="87">
        <f>SUM('Egresos Reales'!G132)</f>
        <v>0</v>
      </c>
      <c r="H269" s="87">
        <f>SUM('Egresos Reales'!H132)</f>
        <v>0</v>
      </c>
      <c r="I269" s="87">
        <f>SUM('Egresos Reales'!I132)</f>
        <v>60693.09</v>
      </c>
      <c r="J269" s="87">
        <f>SUM('Egresos Reales'!J132)</f>
        <v>0</v>
      </c>
      <c r="K269" s="87">
        <f>SUM('Egresos Reales'!K132)</f>
        <v>703503.11</v>
      </c>
      <c r="L269" s="87">
        <f>SUM('Egresos Reales'!L132)</f>
        <v>0</v>
      </c>
      <c r="M269" s="87">
        <f>SUM('Egresos Reales'!M132)</f>
        <v>0</v>
      </c>
      <c r="N269" s="87">
        <f t="shared" si="91"/>
        <v>764196.2</v>
      </c>
      <c r="O269" s="30"/>
    </row>
    <row r="270" spans="1:15">
      <c r="A270" s="55" t="s">
        <v>606</v>
      </c>
      <c r="B270" s="579">
        <f>SUM('Egresos Reales'!B133)</f>
        <v>2328959.5699999998</v>
      </c>
      <c r="C270" s="87">
        <f>SUM('Egresos Reales'!C133)</f>
        <v>0</v>
      </c>
      <c r="D270" s="87">
        <f>SUM('Egresos Reales'!D133)</f>
        <v>0</v>
      </c>
      <c r="E270" s="87">
        <f>SUM('Egresos Reales'!E133)</f>
        <v>1100000</v>
      </c>
      <c r="F270" s="87">
        <f>SUM('Egresos Reales'!F133)</f>
        <v>1799855.09</v>
      </c>
      <c r="G270" s="87">
        <f>SUM('Egresos Reales'!G133)</f>
        <v>0</v>
      </c>
      <c r="H270" s="87">
        <f>SUM('Egresos Reales'!H133)</f>
        <v>1033889.25</v>
      </c>
      <c r="I270" s="87">
        <f>SUM('Egresos Reales'!I133)</f>
        <v>0</v>
      </c>
      <c r="J270" s="87">
        <f>SUM('Egresos Reales'!J133)</f>
        <v>0</v>
      </c>
      <c r="K270" s="87">
        <f>SUM('Egresos Reales'!K133)</f>
        <v>101898.49</v>
      </c>
      <c r="L270" s="87">
        <f>SUM('Egresos Reales'!L133)</f>
        <v>0</v>
      </c>
      <c r="M270" s="87">
        <f>SUM('Egresos Reales'!M133)</f>
        <v>0</v>
      </c>
      <c r="N270" s="87">
        <f t="shared" si="91"/>
        <v>6364602.4000000004</v>
      </c>
      <c r="O270" s="30"/>
    </row>
    <row r="271" spans="1:15">
      <c r="A271" s="55" t="s">
        <v>1168</v>
      </c>
      <c r="B271" s="579">
        <f>SUM('Egresos Reales'!B134)</f>
        <v>0</v>
      </c>
      <c r="C271" s="87">
        <f>SUM('Egresos Reales'!C134)</f>
        <v>0</v>
      </c>
      <c r="D271" s="87">
        <f>SUM('Egresos Reales'!D134)</f>
        <v>0</v>
      </c>
      <c r="E271" s="87">
        <f>SUM('Egresos Reales'!E134)</f>
        <v>0</v>
      </c>
      <c r="F271" s="87">
        <f>SUM('Egresos Reales'!F134)</f>
        <v>0</v>
      </c>
      <c r="G271" s="87">
        <f>SUM('Egresos Reales'!G134)</f>
        <v>0</v>
      </c>
      <c r="H271" s="87">
        <f>SUM('Egresos Reales'!H134)</f>
        <v>0</v>
      </c>
      <c r="I271" s="87">
        <f>SUM('Egresos Reales'!I134)</f>
        <v>1453443.56</v>
      </c>
      <c r="J271" s="87">
        <f>SUM('Egresos Reales'!J134)</f>
        <v>0</v>
      </c>
      <c r="K271" s="87">
        <f>SUM('Egresos Reales'!K134)</f>
        <v>972729.04</v>
      </c>
      <c r="L271" s="87">
        <f>SUM('Egresos Reales'!L134)</f>
        <v>1045036.95</v>
      </c>
      <c r="M271" s="87">
        <f>SUM('Egresos Reales'!M134)</f>
        <v>2594386.27</v>
      </c>
      <c r="N271" s="87">
        <f t="shared" ref="N271" si="92">SUM(B271:M271)</f>
        <v>6065595.8200000003</v>
      </c>
      <c r="O271" s="30"/>
    </row>
    <row r="272" spans="1:15">
      <c r="A272" s="6" t="s">
        <v>533</v>
      </c>
      <c r="B272" s="579">
        <f>SUM('Egresos Reales'!B135)</f>
        <v>0</v>
      </c>
      <c r="C272" s="87">
        <f>SUM('Egresos Reales'!C135)</f>
        <v>0</v>
      </c>
      <c r="D272" s="87">
        <f>SUM('Egresos Reales'!D135)</f>
        <v>0</v>
      </c>
      <c r="E272" s="87">
        <f>SUM('Egresos Reales'!E135)</f>
        <v>0</v>
      </c>
      <c r="F272" s="87">
        <f>SUM('Egresos Reales'!F135)</f>
        <v>0</v>
      </c>
      <c r="G272" s="87">
        <f>SUM('Egresos Reales'!G135)</f>
        <v>0</v>
      </c>
      <c r="H272" s="87">
        <f>SUM('Egresos Reales'!H135)</f>
        <v>0</v>
      </c>
      <c r="I272" s="87">
        <f>SUM('Egresos Reales'!I135)</f>
        <v>0</v>
      </c>
      <c r="J272" s="87">
        <f>SUM('Egresos Reales'!J135)</f>
        <v>0</v>
      </c>
      <c r="K272" s="87">
        <f>SUM('Egresos Reales'!K135)</f>
        <v>0</v>
      </c>
      <c r="L272" s="87">
        <f>SUM('Egresos Reales'!L135)</f>
        <v>0</v>
      </c>
      <c r="M272" s="87">
        <f>SUM('Egresos Reales'!M135)</f>
        <v>0</v>
      </c>
      <c r="N272" s="87">
        <f t="shared" si="91"/>
        <v>0</v>
      </c>
      <c r="O272" s="30"/>
    </row>
    <row r="273" spans="1:15">
      <c r="A273" s="55" t="s">
        <v>474</v>
      </c>
      <c r="B273" s="579">
        <f>SUM('Egresos Reales'!B136)</f>
        <v>0</v>
      </c>
      <c r="C273" s="87">
        <f>SUM('Egresos Reales'!C136)</f>
        <v>0</v>
      </c>
      <c r="D273" s="87">
        <f>SUM('Egresos Reales'!D136)</f>
        <v>0</v>
      </c>
      <c r="E273" s="87">
        <f>SUM('Egresos Reales'!E136)</f>
        <v>0</v>
      </c>
      <c r="F273" s="87">
        <f>SUM('Egresos Reales'!F136)</f>
        <v>0</v>
      </c>
      <c r="G273" s="87">
        <f>SUM('Egresos Reales'!G136)</f>
        <v>0</v>
      </c>
      <c r="H273" s="87">
        <f>SUM('Egresos Reales'!H136)</f>
        <v>0</v>
      </c>
      <c r="I273" s="87">
        <f>SUM('Egresos Reales'!I136)</f>
        <v>0</v>
      </c>
      <c r="J273" s="87">
        <f>SUM('Egresos Reales'!J136)</f>
        <v>0</v>
      </c>
      <c r="K273" s="87">
        <f>SUM('Egresos Reales'!K136)</f>
        <v>0</v>
      </c>
      <c r="L273" s="87">
        <f>SUM('Egresos Reales'!L136)</f>
        <v>0</v>
      </c>
      <c r="M273" s="87">
        <f>SUM('Egresos Reales'!M136)</f>
        <v>0</v>
      </c>
      <c r="N273" s="87">
        <f t="shared" si="91"/>
        <v>0</v>
      </c>
      <c r="O273" s="30"/>
    </row>
    <row r="274" spans="1:15">
      <c r="A274" s="55" t="s">
        <v>574</v>
      </c>
      <c r="B274" s="579">
        <f>SUM('Egresos Reales'!B137)</f>
        <v>0</v>
      </c>
      <c r="C274" s="87">
        <f>SUM('Egresos Reales'!C137)</f>
        <v>0</v>
      </c>
      <c r="D274" s="87">
        <f>SUM('Egresos Reales'!D137)</f>
        <v>0</v>
      </c>
      <c r="E274" s="87">
        <f>SUM('Egresos Reales'!E137)</f>
        <v>0</v>
      </c>
      <c r="F274" s="87">
        <f>SUM('Egresos Reales'!F137)</f>
        <v>0</v>
      </c>
      <c r="G274" s="87">
        <f>SUM('Egresos Reales'!G137)</f>
        <v>0</v>
      </c>
      <c r="H274" s="87">
        <f>SUM('Egresos Reales'!H137)</f>
        <v>2609489.65</v>
      </c>
      <c r="I274" s="87">
        <f>SUM('Egresos Reales'!I137)</f>
        <v>0</v>
      </c>
      <c r="J274" s="87">
        <f>SUM('Egresos Reales'!J137)</f>
        <v>0</v>
      </c>
      <c r="K274" s="87">
        <f>SUM('Egresos Reales'!K137)</f>
        <v>707558.18</v>
      </c>
      <c r="L274" s="87">
        <f>SUM('Egresos Reales'!L137)</f>
        <v>1842329</v>
      </c>
      <c r="M274" s="87">
        <f>SUM('Egresos Reales'!M137)</f>
        <v>655374.64</v>
      </c>
      <c r="N274" s="87">
        <f t="shared" si="91"/>
        <v>5814751.4699999997</v>
      </c>
      <c r="O274" s="30"/>
    </row>
    <row r="275" spans="1:15">
      <c r="A275" s="55" t="s">
        <v>1169</v>
      </c>
      <c r="B275" s="579">
        <f>SUM('Egresos Reales'!B138)</f>
        <v>0</v>
      </c>
      <c r="C275" s="87">
        <f>SUM('Egresos Reales'!C138)</f>
        <v>0</v>
      </c>
      <c r="D275" s="87">
        <f>SUM('Egresos Reales'!D138)</f>
        <v>0</v>
      </c>
      <c r="E275" s="87">
        <f>SUM('Egresos Reales'!E138)</f>
        <v>0</v>
      </c>
      <c r="F275" s="87">
        <f>SUM('Egresos Reales'!F138)</f>
        <v>0</v>
      </c>
      <c r="G275" s="87">
        <f>SUM('Egresos Reales'!G138)</f>
        <v>0</v>
      </c>
      <c r="H275" s="87">
        <f>SUM('Egresos Reales'!H138)</f>
        <v>0</v>
      </c>
      <c r="I275" s="87">
        <f>SUM('Egresos Reales'!I138)</f>
        <v>1637672.85</v>
      </c>
      <c r="J275" s="87">
        <f>SUM('Egresos Reales'!J138)</f>
        <v>0</v>
      </c>
      <c r="K275" s="87">
        <f>SUM('Egresos Reales'!K138)</f>
        <v>926928.09</v>
      </c>
      <c r="L275" s="87">
        <f>SUM('Egresos Reales'!L138)</f>
        <v>1009693.5</v>
      </c>
      <c r="M275" s="87">
        <f>SUM('Egresos Reales'!M138)</f>
        <v>500168.73</v>
      </c>
      <c r="N275" s="87">
        <f t="shared" ref="N275" si="93">SUM(B275:M275)</f>
        <v>4074463.17</v>
      </c>
      <c r="O275" s="30"/>
    </row>
    <row r="276" spans="1:15">
      <c r="A276" s="6" t="s">
        <v>531</v>
      </c>
      <c r="B276" s="579">
        <f>SUM('Egresos Reales'!B139)</f>
        <v>0</v>
      </c>
      <c r="C276" s="87">
        <f>SUM('Egresos Reales'!C139)</f>
        <v>0</v>
      </c>
      <c r="D276" s="87">
        <f>SUM('Egresos Reales'!D139)</f>
        <v>0</v>
      </c>
      <c r="E276" s="87">
        <f>SUM('Egresos Reales'!E139)</f>
        <v>0</v>
      </c>
      <c r="F276" s="87">
        <f>SUM('Egresos Reales'!F139)</f>
        <v>0</v>
      </c>
      <c r="G276" s="87">
        <f>SUM('Egresos Reales'!G139)</f>
        <v>0</v>
      </c>
      <c r="H276" s="87">
        <f>SUM('Egresos Reales'!H139)</f>
        <v>0</v>
      </c>
      <c r="I276" s="87">
        <f>SUM('Egresos Reales'!I139)</f>
        <v>0</v>
      </c>
      <c r="J276" s="87">
        <f>SUM('Egresos Reales'!J139)</f>
        <v>0</v>
      </c>
      <c r="K276" s="87">
        <f>SUM('Egresos Reales'!K139)</f>
        <v>0</v>
      </c>
      <c r="L276" s="87">
        <f>SUM('Egresos Reales'!L139)</f>
        <v>0</v>
      </c>
      <c r="M276" s="87">
        <f>SUM('Egresos Reales'!M139)</f>
        <v>0</v>
      </c>
      <c r="N276" s="87">
        <f t="shared" si="91"/>
        <v>0</v>
      </c>
      <c r="O276" s="30"/>
    </row>
    <row r="277" spans="1:15">
      <c r="A277" s="6" t="s">
        <v>548</v>
      </c>
      <c r="B277" s="579">
        <f>SUM('Egresos Reales'!B140)</f>
        <v>0</v>
      </c>
      <c r="C277" s="87">
        <f>SUM('Egresos Reales'!C140)</f>
        <v>0</v>
      </c>
      <c r="D277" s="87">
        <f>SUM('Egresos Reales'!D140)</f>
        <v>0</v>
      </c>
      <c r="E277" s="87">
        <f>SUM('Egresos Reales'!E140)</f>
        <v>0</v>
      </c>
      <c r="F277" s="87">
        <f>SUM('Egresos Reales'!F140)</f>
        <v>0</v>
      </c>
      <c r="G277" s="87">
        <f>SUM('Egresos Reales'!G140)</f>
        <v>0</v>
      </c>
      <c r="H277" s="87">
        <f>SUM('Egresos Reales'!H140)</f>
        <v>0</v>
      </c>
      <c r="I277" s="87">
        <f>SUM('Egresos Reales'!I140)</f>
        <v>0</v>
      </c>
      <c r="J277" s="87">
        <f>SUM('Egresos Reales'!J140)</f>
        <v>0</v>
      </c>
      <c r="K277" s="87">
        <f>SUM('Egresos Reales'!K140)</f>
        <v>0</v>
      </c>
      <c r="L277" s="87">
        <f>SUM('Egresos Reales'!L140)</f>
        <v>0</v>
      </c>
      <c r="M277" s="87">
        <f>SUM('Egresos Reales'!M140)</f>
        <v>0</v>
      </c>
      <c r="N277" s="87">
        <f t="shared" si="91"/>
        <v>0</v>
      </c>
      <c r="O277" s="30"/>
    </row>
    <row r="278" spans="1:15">
      <c r="A278" s="6" t="s">
        <v>1163</v>
      </c>
      <c r="B278" s="579">
        <f>SUM('Egresos Reales'!B141)</f>
        <v>0</v>
      </c>
      <c r="C278" s="87">
        <f>SUM('Egresos Reales'!C141)</f>
        <v>0</v>
      </c>
      <c r="D278" s="87">
        <f>SUM('Egresos Reales'!D141)</f>
        <v>0</v>
      </c>
      <c r="E278" s="87">
        <f>SUM('Egresos Reales'!E141)</f>
        <v>0</v>
      </c>
      <c r="F278" s="87">
        <f>SUM('Egresos Reales'!F141)</f>
        <v>0</v>
      </c>
      <c r="G278" s="87">
        <f>SUM('Egresos Reales'!G141)</f>
        <v>0</v>
      </c>
      <c r="H278" s="87">
        <f>SUM('Egresos Reales'!H141)</f>
        <v>0</v>
      </c>
      <c r="I278" s="87">
        <f>SUM('Egresos Reales'!I141)</f>
        <v>20628635.469999999</v>
      </c>
      <c r="J278" s="87">
        <f>SUM('Egresos Reales'!J141)</f>
        <v>0</v>
      </c>
      <c r="K278" s="87">
        <f>SUM('Egresos Reales'!K141)</f>
        <v>7648362.46</v>
      </c>
      <c r="L278" s="87">
        <f>SUM('Egresos Reales'!L141)</f>
        <v>8891750.1999999993</v>
      </c>
      <c r="M278" s="87">
        <f>SUM('Egresos Reales'!M141)</f>
        <v>14500149.09</v>
      </c>
      <c r="N278" s="87">
        <f t="shared" ref="N278" si="94">SUM(B278:M278)</f>
        <v>51668897.219999999</v>
      </c>
      <c r="O278" s="30"/>
    </row>
    <row r="279" spans="1:15">
      <c r="A279" s="6" t="s">
        <v>417</v>
      </c>
      <c r="B279" s="579">
        <f>SUM('Egresos Reales'!B142)</f>
        <v>0</v>
      </c>
      <c r="C279" s="87">
        <f>SUM('Egresos Reales'!C142)</f>
        <v>0</v>
      </c>
      <c r="D279" s="87">
        <f>SUM('Egresos Reales'!D142)</f>
        <v>0</v>
      </c>
      <c r="E279" s="87">
        <f>SUM('Egresos Reales'!E142)</f>
        <v>0</v>
      </c>
      <c r="F279" s="87">
        <f>SUM('Egresos Reales'!F142)</f>
        <v>0</v>
      </c>
      <c r="G279" s="87">
        <f>SUM('Egresos Reales'!G142)</f>
        <v>0</v>
      </c>
      <c r="H279" s="87">
        <f>SUM('Egresos Reales'!H142)</f>
        <v>0</v>
      </c>
      <c r="I279" s="87">
        <f>SUM('Egresos Reales'!I142)</f>
        <v>0</v>
      </c>
      <c r="J279" s="87">
        <f>SUM('Egresos Reales'!J142)</f>
        <v>0</v>
      </c>
      <c r="K279" s="87">
        <f>SUM('Egresos Reales'!K142)</f>
        <v>0</v>
      </c>
      <c r="L279" s="87">
        <f>SUM('Egresos Reales'!L142)</f>
        <v>0</v>
      </c>
      <c r="M279" s="87">
        <f>SUM('Egresos Reales'!M142)</f>
        <v>0</v>
      </c>
      <c r="N279" s="87">
        <f t="shared" si="91"/>
        <v>0</v>
      </c>
      <c r="O279" s="30"/>
    </row>
    <row r="280" spans="1:15">
      <c r="A280" s="6" t="s">
        <v>534</v>
      </c>
      <c r="B280" s="579">
        <f>SUM('Egresos Reales'!B143)</f>
        <v>0</v>
      </c>
      <c r="C280" s="87">
        <f>SUM('Egresos Reales'!C143)</f>
        <v>0</v>
      </c>
      <c r="D280" s="87">
        <f>SUM('Egresos Reales'!D143)</f>
        <v>0</v>
      </c>
      <c r="E280" s="87">
        <f>SUM('Egresos Reales'!E143)</f>
        <v>0</v>
      </c>
      <c r="F280" s="87">
        <f>SUM('Egresos Reales'!F143)</f>
        <v>0</v>
      </c>
      <c r="G280" s="87">
        <f>SUM('Egresos Reales'!G143)</f>
        <v>0</v>
      </c>
      <c r="H280" s="87">
        <f>SUM('Egresos Reales'!H143)</f>
        <v>0</v>
      </c>
      <c r="I280" s="87">
        <f>SUM('Egresos Reales'!I143)</f>
        <v>0</v>
      </c>
      <c r="J280" s="87">
        <f>SUM('Egresos Reales'!J143)</f>
        <v>0</v>
      </c>
      <c r="K280" s="87">
        <f>SUM('Egresos Reales'!K143)</f>
        <v>0</v>
      </c>
      <c r="L280" s="87">
        <f>SUM('Egresos Reales'!L143)</f>
        <v>0</v>
      </c>
      <c r="M280" s="87">
        <f>SUM('Egresos Reales'!M143)</f>
        <v>0</v>
      </c>
      <c r="N280" s="87">
        <f t="shared" si="91"/>
        <v>0</v>
      </c>
      <c r="O280" s="30"/>
    </row>
    <row r="281" spans="1:15">
      <c r="A281" s="6" t="s">
        <v>608</v>
      </c>
      <c r="B281" s="579">
        <f>SUM('Egresos Reales'!B144)</f>
        <v>0</v>
      </c>
      <c r="C281" s="87">
        <f>SUM('Egresos Reales'!C144)</f>
        <v>816240.36</v>
      </c>
      <c r="D281" s="87">
        <f>SUM('Egresos Reales'!D144)</f>
        <v>0</v>
      </c>
      <c r="E281" s="87">
        <f>SUM('Egresos Reales'!E144)</f>
        <v>0</v>
      </c>
      <c r="F281" s="87">
        <f>SUM('Egresos Reales'!F144)</f>
        <v>0</v>
      </c>
      <c r="G281" s="87">
        <f>SUM('Egresos Reales'!G144)</f>
        <v>0</v>
      </c>
      <c r="H281" s="87">
        <f>SUM('Egresos Reales'!H144)</f>
        <v>0</v>
      </c>
      <c r="I281" s="87">
        <f>SUM('Egresos Reales'!I144)</f>
        <v>0</v>
      </c>
      <c r="J281" s="87">
        <f>SUM('Egresos Reales'!J144)</f>
        <v>74254.06</v>
      </c>
      <c r="K281" s="87">
        <f>SUM('Egresos Reales'!K144)</f>
        <v>0</v>
      </c>
      <c r="L281" s="87">
        <f>SUM('Egresos Reales'!L144)</f>
        <v>0</v>
      </c>
      <c r="M281" s="87">
        <f>SUM('Egresos Reales'!M144)</f>
        <v>0</v>
      </c>
      <c r="N281" s="87">
        <f t="shared" si="91"/>
        <v>890494.41999999993</v>
      </c>
      <c r="O281" s="30"/>
    </row>
    <row r="282" spans="1:15">
      <c r="A282" s="6" t="s">
        <v>1172</v>
      </c>
      <c r="B282" s="579">
        <f>SUM('Egresos Reales'!B145)</f>
        <v>0</v>
      </c>
      <c r="C282" s="87">
        <f>SUM('Egresos Reales'!C145)</f>
        <v>0</v>
      </c>
      <c r="D282" s="87">
        <f>SUM('Egresos Reales'!D145)</f>
        <v>0</v>
      </c>
      <c r="E282" s="87">
        <f>SUM('Egresos Reales'!E145)</f>
        <v>0</v>
      </c>
      <c r="F282" s="87">
        <f>SUM('Egresos Reales'!F145)</f>
        <v>0</v>
      </c>
      <c r="G282" s="87">
        <f>SUM('Egresos Reales'!G145)</f>
        <v>0</v>
      </c>
      <c r="H282" s="87">
        <f>SUM('Egresos Reales'!H145)</f>
        <v>0</v>
      </c>
      <c r="I282" s="87">
        <f>SUM('Egresos Reales'!I145)</f>
        <v>0</v>
      </c>
      <c r="J282" s="87">
        <f>SUM('Egresos Reales'!J145)</f>
        <v>1555971.8</v>
      </c>
      <c r="K282" s="87">
        <f>SUM('Egresos Reales'!K145)</f>
        <v>458432</v>
      </c>
      <c r="L282" s="87">
        <f>SUM('Egresos Reales'!L145)</f>
        <v>2303975.4</v>
      </c>
      <c r="M282" s="87">
        <f>SUM('Egresos Reales'!M145)</f>
        <v>0</v>
      </c>
      <c r="N282" s="87">
        <f t="shared" ref="N282" si="95">SUM(B282:M282)</f>
        <v>4318379.2</v>
      </c>
      <c r="O282" s="30"/>
    </row>
    <row r="283" spans="1:15">
      <c r="A283" s="6" t="s">
        <v>579</v>
      </c>
      <c r="B283" s="579">
        <f>SUM('Egresos Reales'!B146)</f>
        <v>109590.24</v>
      </c>
      <c r="C283" s="87">
        <f>SUM('Egresos Reales'!C146)</f>
        <v>0</v>
      </c>
      <c r="D283" s="87">
        <f>SUM('Egresos Reales'!D146)</f>
        <v>382418.12</v>
      </c>
      <c r="E283" s="87">
        <f>SUM('Egresos Reales'!E146)</f>
        <v>255369.67</v>
      </c>
      <c r="F283" s="87">
        <f>SUM('Egresos Reales'!F146)</f>
        <v>0</v>
      </c>
      <c r="G283" s="87">
        <f>SUM('Egresos Reales'!G146)</f>
        <v>0</v>
      </c>
      <c r="H283" s="87">
        <f>SUM('Egresos Reales'!H146)</f>
        <v>0</v>
      </c>
      <c r="I283" s="87">
        <f>SUM('Egresos Reales'!I146)</f>
        <v>0</v>
      </c>
      <c r="J283" s="87">
        <f>SUM('Egresos Reales'!J146)</f>
        <v>0</v>
      </c>
      <c r="K283" s="87">
        <f>SUM('Egresos Reales'!K146)</f>
        <v>0</v>
      </c>
      <c r="L283" s="87">
        <f>SUM('Egresos Reales'!L146)</f>
        <v>0</v>
      </c>
      <c r="M283" s="87">
        <f>SUM('Egresos Reales'!M146)</f>
        <v>0</v>
      </c>
      <c r="N283" s="87">
        <f t="shared" si="91"/>
        <v>747378.03</v>
      </c>
      <c r="O283" s="30"/>
    </row>
    <row r="284" spans="1:15">
      <c r="A284" s="6" t="s">
        <v>599</v>
      </c>
      <c r="B284" s="579">
        <f>SUM('Egresos Reales'!B147)</f>
        <v>0</v>
      </c>
      <c r="C284" s="87">
        <f>SUM('Egresos Reales'!C147)</f>
        <v>0</v>
      </c>
      <c r="D284" s="87">
        <f>SUM('Egresos Reales'!D147)</f>
        <v>0</v>
      </c>
      <c r="E284" s="87">
        <f>SUM('Egresos Reales'!E147)</f>
        <v>0</v>
      </c>
      <c r="F284" s="87">
        <f>SUM('Egresos Reales'!F147)</f>
        <v>0</v>
      </c>
      <c r="G284" s="87">
        <f>SUM('Egresos Reales'!G147)</f>
        <v>0</v>
      </c>
      <c r="H284" s="87">
        <f>SUM('Egresos Reales'!H147)</f>
        <v>0</v>
      </c>
      <c r="I284" s="87">
        <f>SUM('Egresos Reales'!I147)</f>
        <v>0</v>
      </c>
      <c r="J284" s="87">
        <f>SUM('Egresos Reales'!J147)</f>
        <v>0</v>
      </c>
      <c r="K284" s="87">
        <f>SUM('Egresos Reales'!K147)</f>
        <v>0</v>
      </c>
      <c r="L284" s="87">
        <f>SUM('Egresos Reales'!L147)</f>
        <v>0</v>
      </c>
      <c r="M284" s="87">
        <f>SUM('Egresos Reales'!M147)</f>
        <v>0</v>
      </c>
      <c r="N284" s="87">
        <f t="shared" si="91"/>
        <v>0</v>
      </c>
      <c r="O284" s="30"/>
    </row>
    <row r="285" spans="1:15">
      <c r="A285" s="246" t="s">
        <v>609</v>
      </c>
      <c r="B285" s="579">
        <f>SUM('Egresos Reales'!B148)</f>
        <v>0</v>
      </c>
      <c r="C285" s="87">
        <f>SUM('Egresos Reales'!C148)</f>
        <v>0</v>
      </c>
      <c r="D285" s="87">
        <f>SUM('Egresos Reales'!D148)</f>
        <v>0</v>
      </c>
      <c r="E285" s="87">
        <f>SUM('Egresos Reales'!E148)</f>
        <v>0</v>
      </c>
      <c r="F285" s="87">
        <f>SUM('Egresos Reales'!F148)</f>
        <v>0</v>
      </c>
      <c r="G285" s="87">
        <f>SUM('Egresos Reales'!G148)</f>
        <v>0</v>
      </c>
      <c r="H285" s="87">
        <f>SUM('Egresos Reales'!H148)</f>
        <v>0</v>
      </c>
      <c r="I285" s="87">
        <f>SUM('Egresos Reales'!I148)</f>
        <v>0</v>
      </c>
      <c r="J285" s="87">
        <f>SUM('Egresos Reales'!J148)</f>
        <v>0</v>
      </c>
      <c r="K285" s="87">
        <f>SUM('Egresos Reales'!K148)</f>
        <v>0</v>
      </c>
      <c r="L285" s="87">
        <f>SUM('Egresos Reales'!L148)</f>
        <v>0</v>
      </c>
      <c r="M285" s="87">
        <f>SUM('Egresos Reales'!M148)</f>
        <v>0</v>
      </c>
      <c r="N285" s="87">
        <f t="shared" si="91"/>
        <v>0</v>
      </c>
      <c r="O285" s="30"/>
    </row>
    <row r="286" spans="1:15">
      <c r="A286" s="246" t="s">
        <v>610</v>
      </c>
      <c r="B286" s="579">
        <f>SUM('Egresos Reales'!B149)</f>
        <v>0</v>
      </c>
      <c r="C286" s="87">
        <f>SUM('Egresos Reales'!C149)</f>
        <v>1288186.96</v>
      </c>
      <c r="D286" s="87">
        <f>SUM('Egresos Reales'!D149)</f>
        <v>3534343.9</v>
      </c>
      <c r="E286" s="87">
        <f>SUM('Egresos Reales'!E149)</f>
        <v>531021.93000000005</v>
      </c>
      <c r="F286" s="87">
        <f>SUM('Egresos Reales'!F149)</f>
        <v>0</v>
      </c>
      <c r="G286" s="87">
        <f>SUM('Egresos Reales'!G149)</f>
        <v>1961907.99</v>
      </c>
      <c r="H286" s="87">
        <f>SUM('Egresos Reales'!H149)</f>
        <v>0</v>
      </c>
      <c r="I286" s="87">
        <f>SUM('Egresos Reales'!I149)</f>
        <v>0</v>
      </c>
      <c r="J286" s="87">
        <f>SUM('Egresos Reales'!J149)</f>
        <v>0</v>
      </c>
      <c r="K286" s="87">
        <f>SUM('Egresos Reales'!K149)</f>
        <v>0</v>
      </c>
      <c r="L286" s="87">
        <f>SUM('Egresos Reales'!L149)</f>
        <v>0</v>
      </c>
      <c r="M286" s="87">
        <f>SUM('Egresos Reales'!M149)</f>
        <v>0</v>
      </c>
      <c r="N286" s="87">
        <f t="shared" si="91"/>
        <v>7315460.7799999993</v>
      </c>
      <c r="O286" s="30"/>
    </row>
    <row r="287" spans="1:15">
      <c r="A287" s="246" t="s">
        <v>611</v>
      </c>
      <c r="B287" s="579">
        <f>SUM('Egresos Reales'!B150)</f>
        <v>5931954.9000000004</v>
      </c>
      <c r="C287" s="87">
        <f>SUM('Egresos Reales'!C150)</f>
        <v>0</v>
      </c>
      <c r="D287" s="87">
        <f>SUM('Egresos Reales'!D150)</f>
        <v>2073902.4</v>
      </c>
      <c r="E287" s="87">
        <f>SUM('Egresos Reales'!E150)</f>
        <v>5387818.4699999997</v>
      </c>
      <c r="F287" s="87">
        <f>SUM('Egresos Reales'!F150)</f>
        <v>0</v>
      </c>
      <c r="G287" s="87">
        <f>SUM('Egresos Reales'!G150)</f>
        <v>4740992.68</v>
      </c>
      <c r="H287" s="87">
        <f>SUM('Egresos Reales'!H150)</f>
        <v>0</v>
      </c>
      <c r="I287" s="87">
        <f>SUM('Egresos Reales'!I150)</f>
        <v>0</v>
      </c>
      <c r="J287" s="87">
        <f>SUM('Egresos Reales'!J150)</f>
        <v>0</v>
      </c>
      <c r="K287" s="87">
        <f>SUM('Egresos Reales'!K150)</f>
        <v>4428129.1900000004</v>
      </c>
      <c r="L287" s="87">
        <f>SUM('Egresos Reales'!L150)</f>
        <v>0</v>
      </c>
      <c r="M287" s="87">
        <f>SUM('Egresos Reales'!M150)</f>
        <v>0</v>
      </c>
      <c r="N287" s="87">
        <f t="shared" si="91"/>
        <v>22562797.640000001</v>
      </c>
      <c r="O287" s="30"/>
    </row>
    <row r="288" spans="1:15">
      <c r="A288" s="246" t="s">
        <v>1160</v>
      </c>
      <c r="B288" s="579">
        <f>SUM('Egresos Reales'!B151)</f>
        <v>0</v>
      </c>
      <c r="C288" s="87">
        <f>SUM('Egresos Reales'!C151)</f>
        <v>0</v>
      </c>
      <c r="D288" s="87">
        <f>SUM('Egresos Reales'!D151)</f>
        <v>0</v>
      </c>
      <c r="E288" s="87">
        <f>SUM('Egresos Reales'!E151)</f>
        <v>0</v>
      </c>
      <c r="F288" s="87">
        <f>SUM('Egresos Reales'!F151)</f>
        <v>0</v>
      </c>
      <c r="G288" s="87">
        <f>SUM('Egresos Reales'!G151)</f>
        <v>11855452.300000001</v>
      </c>
      <c r="H288" s="87">
        <f>SUM('Egresos Reales'!H151)</f>
        <v>0</v>
      </c>
      <c r="I288" s="87">
        <f>SUM('Egresos Reales'!I151)</f>
        <v>3403275.57</v>
      </c>
      <c r="J288" s="87">
        <f>SUM('Egresos Reales'!J151)</f>
        <v>2324390.75</v>
      </c>
      <c r="K288" s="87">
        <f>SUM('Egresos Reales'!K151)</f>
        <v>4671319.54</v>
      </c>
      <c r="L288" s="87">
        <f>SUM('Egresos Reales'!L151)</f>
        <v>9608383.5899999999</v>
      </c>
      <c r="M288" s="87">
        <f>SUM('Egresos Reales'!M151)</f>
        <v>96587.9</v>
      </c>
      <c r="N288" s="87">
        <f t="shared" si="91"/>
        <v>31959409.649999999</v>
      </c>
      <c r="O288" s="30"/>
    </row>
    <row r="289" spans="1:16" ht="13.5" thickBot="1">
      <c r="A289" s="246" t="s">
        <v>1161</v>
      </c>
      <c r="B289" s="579">
        <f>SUM('Egresos Reales'!B152)</f>
        <v>0</v>
      </c>
      <c r="C289" s="87">
        <f>SUM('Egresos Reales'!C152)</f>
        <v>0</v>
      </c>
      <c r="D289" s="87">
        <f>SUM('Egresos Reales'!D152)</f>
        <v>0</v>
      </c>
      <c r="E289" s="87">
        <f>SUM('Egresos Reales'!E152)</f>
        <v>0</v>
      </c>
      <c r="F289" s="87">
        <f>SUM('Egresos Reales'!F152)</f>
        <v>0</v>
      </c>
      <c r="G289" s="87">
        <f>SUM('Egresos Reales'!G152)</f>
        <v>2346278.6800000002</v>
      </c>
      <c r="H289" s="87">
        <f>SUM('Egresos Reales'!H152)</f>
        <v>0</v>
      </c>
      <c r="I289" s="87">
        <f>SUM('Egresos Reales'!I152)</f>
        <v>0</v>
      </c>
      <c r="J289" s="87">
        <f>SUM('Egresos Reales'!J152)</f>
        <v>615492.65</v>
      </c>
      <c r="K289" s="87">
        <f>SUM('Egresos Reales'!K152)</f>
        <v>1094995.94</v>
      </c>
      <c r="L289" s="87">
        <f>SUM('Egresos Reales'!L152)</f>
        <v>1399293.76</v>
      </c>
      <c r="M289" s="87">
        <f>SUM('Egresos Reales'!M152)</f>
        <v>1697387.45</v>
      </c>
      <c r="N289" s="87">
        <f t="shared" si="91"/>
        <v>7153448.4800000004</v>
      </c>
      <c r="O289" s="30"/>
    </row>
    <row r="290" spans="1:16" ht="24.75" customHeight="1" thickBot="1">
      <c r="A290" s="585" t="s">
        <v>231</v>
      </c>
      <c r="B290" s="582">
        <f t="shared" ref="B290:G290" si="96">SUM(B242:B289)</f>
        <v>14288328.180000002</v>
      </c>
      <c r="C290" s="582">
        <f t="shared" si="96"/>
        <v>6121507.1300000008</v>
      </c>
      <c r="D290" s="582">
        <f t="shared" si="96"/>
        <v>14847097.340000002</v>
      </c>
      <c r="E290" s="582">
        <f t="shared" si="96"/>
        <v>9273948.5599999987</v>
      </c>
      <c r="F290" s="582">
        <f t="shared" si="96"/>
        <v>12952612.98</v>
      </c>
      <c r="G290" s="582">
        <f t="shared" si="96"/>
        <v>27868852.229999997</v>
      </c>
      <c r="H290" s="582">
        <f t="shared" ref="H290" si="97">SUM(H242:H289)</f>
        <v>7894143.4800000004</v>
      </c>
      <c r="I290" s="582">
        <f>SUM(I242:I289)</f>
        <v>31242689.979999997</v>
      </c>
      <c r="J290" s="582">
        <f t="shared" ref="J290" si="98">SUM(J242:J289)</f>
        <v>12069330.369999999</v>
      </c>
      <c r="K290" s="582">
        <f>SUM(K242:K289)</f>
        <v>25867154.82</v>
      </c>
      <c r="L290" s="582">
        <f>SUM(L242:L289)</f>
        <v>34256413.799999997</v>
      </c>
      <c r="M290" s="582">
        <f>SUM(M242:M289)</f>
        <v>22903084.779999997</v>
      </c>
      <c r="N290" s="586">
        <f>SUM(N242:N289)</f>
        <v>219585163.64999998</v>
      </c>
      <c r="O290" s="30"/>
    </row>
    <row r="291" spans="1:16" ht="24" customHeight="1" thickBot="1">
      <c r="A291" s="581" t="s">
        <v>131</v>
      </c>
      <c r="B291" s="582">
        <f t="shared" ref="B291:G291" si="99">SUM(B290+B240+B233+B195+B180+B174+B170+B161+B152+B144)</f>
        <v>88234507.190000013</v>
      </c>
      <c r="C291" s="583">
        <f t="shared" si="99"/>
        <v>82745322.060000002</v>
      </c>
      <c r="D291" s="583">
        <f t="shared" si="99"/>
        <v>118550501.67</v>
      </c>
      <c r="E291" s="583">
        <f t="shared" si="99"/>
        <v>84729851.750000015</v>
      </c>
      <c r="F291" s="583">
        <f t="shared" si="99"/>
        <v>108924329.88</v>
      </c>
      <c r="G291" s="583">
        <f t="shared" si="99"/>
        <v>115684320.19</v>
      </c>
      <c r="H291" s="583">
        <f t="shared" ref="H291" si="100">SUM(H290+H240+H233+H195+H180+H174+H170+H161+H152+H144)</f>
        <v>114659737.88000001</v>
      </c>
      <c r="I291" s="583">
        <f>SUM(I290+I240+I233+I195+I180+I174+I170+I161+I152+I144)</f>
        <v>104316717.5</v>
      </c>
      <c r="J291" s="583">
        <f t="shared" ref="J291" si="101">SUM(J290+J240+J233+J195+J180+J174+J170+J161+J152+J144)</f>
        <v>113909671.41999999</v>
      </c>
      <c r="K291" s="583">
        <f>SUM(K290+K240+K233+K195+K180+K174+K170+K161+K152+K144)</f>
        <v>111317669.81</v>
      </c>
      <c r="L291" s="583">
        <f>SUM(L290+L240+L233+L195+L180+L174+L170+L161+L152+L144)</f>
        <v>109186614.48</v>
      </c>
      <c r="M291" s="583">
        <f>SUM(M290+M240+M233+M195+M180+M174+M170+M161+M152+M144)</f>
        <v>189891210.34</v>
      </c>
      <c r="N291" s="584">
        <f>SUM(N290+N240+N233+N195+N180+N174+N170+N161+N152+N144)</f>
        <v>1342150454.1700001</v>
      </c>
      <c r="O291" s="30"/>
      <c r="P291" s="30"/>
    </row>
    <row r="292" spans="1:16" ht="30" customHeight="1" thickBot="1">
      <c r="A292" s="426" t="s">
        <v>203</v>
      </c>
      <c r="B292" s="582">
        <f>SUM(B6+B136-B291)</f>
        <v>68703655.689999983</v>
      </c>
      <c r="C292" s="583">
        <f>SUM(C6+C136-C291)</f>
        <v>111697055.20999998</v>
      </c>
      <c r="D292" s="583">
        <f>SUM(D6+D136-D291)</f>
        <v>102691243.87999998</v>
      </c>
      <c r="E292" s="583">
        <f>SUM(E6+E136-E291)</f>
        <v>110673667.61</v>
      </c>
      <c r="F292" s="583">
        <f>SUM(F6+F136-F291)</f>
        <v>96603062.420000017</v>
      </c>
      <c r="G292" s="583">
        <f>SUM(G6+G136-G291)</f>
        <v>85231970.400000006</v>
      </c>
      <c r="H292" s="583">
        <f>SUM(H6+H136-H291)</f>
        <v>67067302.259999976</v>
      </c>
      <c r="I292" s="583">
        <f>SUM(I6+I136-I291)</f>
        <v>90944273.109999955</v>
      </c>
      <c r="J292" s="583">
        <f>SUM(J6+J136-J291)</f>
        <v>79362648.299999982</v>
      </c>
      <c r="K292" s="583">
        <f>SUM(K6+K136-K291)</f>
        <v>78777957.119999975</v>
      </c>
      <c r="L292" s="583">
        <f>SUM(L6+L136-L291)</f>
        <v>51733690.929999962</v>
      </c>
      <c r="M292" s="583">
        <f>SUM(M6+M136-M291)</f>
        <v>65657230.889999956</v>
      </c>
      <c r="N292" s="584">
        <f>SUM(N6+N136-N291)</f>
        <v>65657230.889999866</v>
      </c>
    </row>
    <row r="293" spans="1:16">
      <c r="B293" s="398"/>
      <c r="C293" s="398"/>
      <c r="D293" s="398"/>
      <c r="E293" s="398"/>
      <c r="F293" s="398"/>
      <c r="G293" s="398"/>
      <c r="H293" s="398"/>
      <c r="I293" s="398"/>
      <c r="J293" s="398"/>
      <c r="K293" s="398"/>
      <c r="L293" s="398"/>
      <c r="M293" s="398"/>
      <c r="N293" s="398"/>
    </row>
    <row r="295" spans="1:16" ht="15.75">
      <c r="A295" s="98"/>
    </row>
  </sheetData>
  <mergeCells count="3">
    <mergeCell ref="A2:N2"/>
    <mergeCell ref="A3:N3"/>
    <mergeCell ref="A1:N1"/>
  </mergeCells>
  <phoneticPr fontId="7" type="noConversion"/>
  <printOptions horizontalCentered="1"/>
  <pageMargins left="0" right="0" top="0.23622047244094491" bottom="0.19685039370078741" header="0" footer="0"/>
  <pageSetup paperSize="5" scale="51" firstPageNumber="40" fitToHeight="3" orientation="landscape" useFirstPageNumber="1" horizontalDpi="4294967292" r:id="rId1"/>
  <headerFooter alignWithMargins="0"/>
  <rowBreaks count="3" manualBreakCount="3">
    <brk id="78" max="16383" man="1"/>
    <brk id="152" max="16383" man="1"/>
    <brk id="233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workbookViewId="0">
      <selection activeCell="I30" sqref="I30"/>
    </sheetView>
  </sheetViews>
  <sheetFormatPr baseColWidth="10" defaultRowHeight="12.75"/>
  <cols>
    <col min="2" max="2" width="5.28515625" customWidth="1"/>
    <col min="8" max="8" width="14.42578125" bestFit="1" customWidth="1"/>
    <col min="9" max="9" width="21.140625" bestFit="1" customWidth="1"/>
    <col min="10" max="10" width="10" customWidth="1"/>
    <col min="11" max="11" width="6.7109375" customWidth="1"/>
  </cols>
  <sheetData>
    <row r="1" spans="1:12" ht="15.75">
      <c r="A1" s="336" t="s">
        <v>366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1:12" ht="15.75">
      <c r="A2" s="336" t="s">
        <v>132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2" ht="15.75">
      <c r="A3" s="336"/>
      <c r="B3" s="336"/>
      <c r="C3" s="336"/>
      <c r="D3" s="336"/>
    </row>
    <row r="4" spans="1:12" ht="12.75" customHeight="1">
      <c r="A4" s="68"/>
      <c r="B4" s="69"/>
      <c r="C4" s="69"/>
      <c r="D4" s="69"/>
      <c r="E4" s="12"/>
      <c r="F4" s="12"/>
      <c r="G4" s="12"/>
      <c r="H4" s="12"/>
      <c r="I4" s="12"/>
      <c r="J4" s="12"/>
      <c r="K4" s="12"/>
      <c r="L4" s="46"/>
    </row>
    <row r="5" spans="1:12" ht="12.75" customHeight="1">
      <c r="A5" s="70"/>
      <c r="B5" s="71"/>
      <c r="C5" s="71"/>
      <c r="D5" s="71"/>
      <c r="E5" s="14"/>
      <c r="F5" s="14"/>
      <c r="G5" s="14"/>
      <c r="H5" s="14"/>
      <c r="I5" s="14"/>
      <c r="J5" s="14"/>
      <c r="K5" s="14"/>
      <c r="L5" s="15"/>
    </row>
    <row r="6" spans="1:12" ht="12.75" customHeight="1">
      <c r="A6" s="70"/>
      <c r="B6" s="71"/>
      <c r="C6" s="71"/>
      <c r="D6" s="71"/>
      <c r="E6" s="14"/>
      <c r="F6" s="14"/>
      <c r="G6" s="14"/>
      <c r="H6" s="14"/>
      <c r="I6" s="14"/>
      <c r="J6" s="14"/>
      <c r="K6" s="14"/>
      <c r="L6" s="15"/>
    </row>
    <row r="7" spans="1:12" ht="12.75" customHeight="1">
      <c r="A7" s="70"/>
      <c r="B7" s="71"/>
      <c r="C7" s="71"/>
      <c r="D7" s="71"/>
      <c r="E7" s="14"/>
      <c r="F7" s="14"/>
      <c r="G7" s="14"/>
      <c r="H7" s="14"/>
      <c r="I7" s="14"/>
      <c r="J7" s="14"/>
      <c r="K7" s="14"/>
      <c r="L7" s="15"/>
    </row>
    <row r="8" spans="1:12" ht="12.75" customHeight="1">
      <c r="A8" s="70"/>
      <c r="B8" s="71"/>
      <c r="C8" s="71"/>
      <c r="D8" s="71"/>
      <c r="E8" s="14"/>
      <c r="F8" s="14"/>
      <c r="G8" s="14"/>
      <c r="H8" s="14"/>
      <c r="I8" s="14"/>
      <c r="J8" s="14"/>
      <c r="K8" s="14"/>
      <c r="L8" s="15"/>
    </row>
    <row r="9" spans="1:12" ht="12.75" customHeight="1">
      <c r="A9" s="70"/>
      <c r="B9" s="71"/>
      <c r="C9" s="71"/>
      <c r="D9" s="71"/>
      <c r="E9" s="14"/>
      <c r="F9" s="14"/>
      <c r="G9" s="14"/>
      <c r="H9" s="14"/>
      <c r="I9" s="14"/>
      <c r="J9" s="14"/>
      <c r="K9" s="14"/>
      <c r="L9" s="15"/>
    </row>
    <row r="10" spans="1:12" ht="12.75" customHeight="1">
      <c r="A10" s="70"/>
      <c r="B10" s="71"/>
      <c r="C10" s="71"/>
      <c r="D10" s="71"/>
      <c r="E10" s="14"/>
      <c r="F10" s="14"/>
      <c r="G10" s="14"/>
      <c r="H10" s="14"/>
      <c r="I10" s="14"/>
      <c r="J10" s="14"/>
      <c r="K10" s="14"/>
      <c r="L10" s="15"/>
    </row>
    <row r="11" spans="1:12">
      <c r="A11" s="13"/>
      <c r="B11" s="15"/>
      <c r="C11" s="11"/>
      <c r="D11" s="12"/>
      <c r="E11" s="12"/>
      <c r="F11" s="12"/>
      <c r="G11" s="12"/>
      <c r="H11" s="12"/>
      <c r="I11" s="12"/>
      <c r="J11" s="46"/>
      <c r="K11" s="14"/>
      <c r="L11" s="15"/>
    </row>
    <row r="12" spans="1:12">
      <c r="A12" s="13"/>
      <c r="B12" s="15"/>
      <c r="C12" s="13"/>
      <c r="D12" s="14"/>
      <c r="E12" s="14"/>
      <c r="F12" s="14"/>
      <c r="G12" s="14"/>
      <c r="H12" s="14"/>
      <c r="I12" s="14"/>
      <c r="J12" s="15"/>
      <c r="K12" s="14"/>
      <c r="L12" s="15"/>
    </row>
    <row r="13" spans="1:12">
      <c r="A13" s="13"/>
      <c r="B13" s="15"/>
      <c r="C13" s="13"/>
      <c r="D13" s="14"/>
      <c r="E13" s="14"/>
      <c r="F13" s="14"/>
      <c r="G13" s="14"/>
      <c r="H13" s="14"/>
      <c r="I13" s="14"/>
      <c r="J13" s="15"/>
      <c r="K13" s="14"/>
      <c r="L13" s="15"/>
    </row>
    <row r="14" spans="1:12">
      <c r="A14" s="13"/>
      <c r="B14" s="15"/>
      <c r="C14" s="13"/>
      <c r="D14" s="14"/>
      <c r="E14" s="14"/>
      <c r="F14" s="14"/>
      <c r="G14" s="14"/>
      <c r="H14" s="14"/>
      <c r="I14" s="14"/>
      <c r="J14" s="15"/>
      <c r="K14" s="14"/>
      <c r="L14" s="15"/>
    </row>
    <row r="15" spans="1:12" ht="13.5" thickBot="1">
      <c r="A15" s="13"/>
      <c r="B15" s="15"/>
      <c r="C15" s="13"/>
      <c r="D15" s="48" t="s">
        <v>224</v>
      </c>
      <c r="E15" s="14"/>
      <c r="F15" s="14"/>
      <c r="G15" s="14"/>
      <c r="H15" s="76">
        <v>541500</v>
      </c>
      <c r="I15" s="14"/>
      <c r="J15" s="15"/>
      <c r="K15" s="14"/>
      <c r="L15" s="15"/>
    </row>
    <row r="16" spans="1:12">
      <c r="A16" s="13"/>
      <c r="B16" s="72"/>
      <c r="C16" s="47"/>
      <c r="D16" s="14"/>
      <c r="E16" s="14"/>
      <c r="F16" s="14"/>
      <c r="G16" s="14"/>
      <c r="H16" s="14"/>
      <c r="I16" s="14"/>
      <c r="J16" s="15"/>
      <c r="K16" s="14"/>
      <c r="L16" s="15"/>
    </row>
    <row r="17" spans="1:12">
      <c r="A17" s="13"/>
      <c r="B17" s="72"/>
      <c r="C17" s="47"/>
      <c r="D17" s="14"/>
      <c r="E17" s="14"/>
      <c r="F17" s="14"/>
      <c r="G17" s="14"/>
      <c r="H17" s="14"/>
      <c r="I17" s="14"/>
      <c r="J17" s="15"/>
      <c r="K17" s="14"/>
      <c r="L17" s="15"/>
    </row>
    <row r="18" spans="1:12" ht="13.5" thickBot="1">
      <c r="A18" s="13"/>
      <c r="B18" s="15"/>
      <c r="C18" s="13"/>
      <c r="D18" s="48" t="s">
        <v>133</v>
      </c>
      <c r="E18" s="14"/>
      <c r="F18" s="14"/>
      <c r="G18" s="14"/>
      <c r="H18" s="76">
        <f>'Disp. Ctas. Banc'!D118</f>
        <v>73605630.547000021</v>
      </c>
      <c r="I18" s="14"/>
      <c r="J18" s="15"/>
      <c r="K18" s="14"/>
      <c r="L18" s="15"/>
    </row>
    <row r="19" spans="1:12">
      <c r="A19" s="13"/>
      <c r="B19" s="15"/>
      <c r="C19" s="13"/>
      <c r="D19" s="14"/>
      <c r="E19" s="14"/>
      <c r="F19" s="14"/>
      <c r="G19" s="14"/>
      <c r="H19" s="14"/>
      <c r="I19" s="14"/>
      <c r="J19" s="15"/>
      <c r="K19" s="14"/>
      <c r="L19" s="15"/>
    </row>
    <row r="20" spans="1:12">
      <c r="A20" s="13"/>
      <c r="B20" s="15"/>
      <c r="C20" s="13"/>
      <c r="D20" s="14"/>
      <c r="E20" s="14"/>
      <c r="F20" s="14"/>
      <c r="G20" s="14"/>
      <c r="H20" s="14"/>
      <c r="I20" s="14"/>
      <c r="J20" s="15"/>
      <c r="K20" s="14"/>
      <c r="L20" s="15"/>
    </row>
    <row r="21" spans="1:12" ht="13.5" thickBot="1">
      <c r="A21" s="13"/>
      <c r="B21" s="15"/>
      <c r="C21" s="13"/>
      <c r="D21" s="48" t="s">
        <v>244</v>
      </c>
      <c r="E21" s="14"/>
      <c r="F21" s="14"/>
      <c r="G21" s="14"/>
      <c r="H21" s="76">
        <f>'Disp. Ctas. por Cobrar'!F37</f>
        <v>11772815.900000002</v>
      </c>
      <c r="I21" s="14"/>
      <c r="J21" s="100"/>
      <c r="K21" s="14"/>
      <c r="L21" s="15"/>
    </row>
    <row r="22" spans="1:12">
      <c r="A22" s="13"/>
      <c r="B22" s="15"/>
      <c r="C22" s="13"/>
      <c r="D22" s="14"/>
      <c r="E22" s="14"/>
      <c r="F22" s="14"/>
      <c r="G22" s="14"/>
      <c r="H22" s="14"/>
      <c r="I22" s="14"/>
      <c r="J22" s="15"/>
      <c r="K22" s="14"/>
      <c r="L22" s="15"/>
    </row>
    <row r="23" spans="1:12">
      <c r="A23" s="13"/>
      <c r="B23" s="72"/>
      <c r="C23" s="47"/>
      <c r="D23" s="14"/>
      <c r="E23" s="14"/>
      <c r="F23" s="14"/>
      <c r="G23" s="14"/>
      <c r="H23" s="14"/>
      <c r="I23" s="14"/>
      <c r="J23" s="15"/>
      <c r="K23" s="14"/>
      <c r="L23" s="15"/>
    </row>
    <row r="24" spans="1:12" ht="13.5" thickBot="1">
      <c r="A24" s="13"/>
      <c r="B24" s="72"/>
      <c r="C24" s="47"/>
      <c r="D24" s="48" t="s">
        <v>245</v>
      </c>
      <c r="E24" s="14"/>
      <c r="F24" s="14"/>
      <c r="G24" s="14"/>
      <c r="H24" s="76">
        <f>'Disp. Ctas. por Pagar'!D32</f>
        <v>20262715.559999999</v>
      </c>
      <c r="I24" s="14"/>
      <c r="J24" s="15"/>
      <c r="K24" s="14"/>
      <c r="L24" s="15"/>
    </row>
    <row r="25" spans="1:12">
      <c r="A25" s="13"/>
      <c r="B25" s="72"/>
      <c r="C25" s="47"/>
      <c r="D25" s="14"/>
      <c r="E25" s="14"/>
      <c r="F25" s="14"/>
      <c r="G25" s="14"/>
      <c r="H25" s="14"/>
      <c r="I25" s="14"/>
      <c r="J25" s="15"/>
      <c r="K25" s="14"/>
      <c r="L25" s="15"/>
    </row>
    <row r="26" spans="1:12">
      <c r="A26" s="13"/>
      <c r="B26" s="15"/>
      <c r="C26" s="13"/>
      <c r="D26" s="14"/>
      <c r="E26" s="14"/>
      <c r="F26" s="14"/>
      <c r="G26" s="14"/>
      <c r="H26" s="14"/>
      <c r="I26" s="14"/>
      <c r="J26" s="15"/>
      <c r="K26" s="14"/>
      <c r="L26" s="15"/>
    </row>
    <row r="27" spans="1:12">
      <c r="A27" s="13"/>
      <c r="B27" s="15"/>
      <c r="C27" s="13"/>
      <c r="D27" s="14"/>
      <c r="E27" s="14"/>
      <c r="F27" s="14"/>
      <c r="G27" s="14"/>
      <c r="H27" s="14"/>
      <c r="I27" s="14"/>
      <c r="J27" s="15"/>
      <c r="K27" s="14"/>
      <c r="L27" s="15"/>
    </row>
    <row r="28" spans="1:12" ht="13.5" thickBot="1">
      <c r="A28" s="13"/>
      <c r="B28" s="15"/>
      <c r="C28" s="13"/>
      <c r="D28" s="48" t="s">
        <v>1136</v>
      </c>
      <c r="E28" s="14"/>
      <c r="F28" s="14"/>
      <c r="G28" s="14"/>
      <c r="H28" s="14"/>
      <c r="I28" s="140">
        <f>+H15+H18+H21-H24</f>
        <v>65657230.887000024</v>
      </c>
      <c r="J28" s="15"/>
      <c r="K28" s="14"/>
      <c r="L28" s="15"/>
    </row>
    <row r="29" spans="1:12" ht="13.5" thickTop="1">
      <c r="A29" s="13"/>
      <c r="B29" s="15"/>
      <c r="C29" s="13"/>
      <c r="D29" s="48"/>
      <c r="E29" s="14"/>
      <c r="F29" s="14"/>
      <c r="G29" s="14"/>
      <c r="H29" s="14"/>
      <c r="I29" s="14"/>
      <c r="J29" s="15"/>
      <c r="K29" s="14"/>
      <c r="L29" s="15"/>
    </row>
    <row r="30" spans="1:12">
      <c r="A30" s="13"/>
      <c r="B30" s="72"/>
      <c r="C30" s="47"/>
      <c r="D30" s="14"/>
      <c r="E30" s="14"/>
      <c r="F30" s="14"/>
      <c r="G30" s="14"/>
      <c r="H30" s="14"/>
      <c r="I30" s="45"/>
      <c r="J30" s="15"/>
      <c r="K30" s="14"/>
      <c r="L30" s="15"/>
    </row>
    <row r="31" spans="1:12">
      <c r="A31" s="13"/>
      <c r="B31" s="72"/>
      <c r="C31" s="47"/>
      <c r="D31" s="14"/>
      <c r="E31" s="14"/>
      <c r="F31" s="14"/>
      <c r="G31" s="14"/>
      <c r="H31" s="14"/>
      <c r="I31" s="139"/>
      <c r="J31" s="15"/>
      <c r="K31" s="14"/>
      <c r="L31" s="15"/>
    </row>
    <row r="32" spans="1:12">
      <c r="A32" s="13"/>
      <c r="B32" s="15"/>
      <c r="C32" s="16"/>
      <c r="D32" s="17"/>
      <c r="E32" s="17"/>
      <c r="F32" s="17"/>
      <c r="G32" s="17"/>
      <c r="H32" s="17"/>
      <c r="I32" s="17"/>
      <c r="J32" s="18"/>
      <c r="K32" s="14"/>
      <c r="L32" s="15"/>
    </row>
    <row r="33" spans="1:12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5"/>
    </row>
    <row r="34" spans="1:12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/>
    </row>
    <row r="35" spans="1:12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/>
    </row>
    <row r="36" spans="1:12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5"/>
    </row>
    <row r="37" spans="1:12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</row>
    <row r="38" spans="1:12">
      <c r="A38" s="13"/>
      <c r="B38" s="14"/>
      <c r="C38" s="14"/>
      <c r="D38" s="14"/>
      <c r="E38" s="14"/>
      <c r="F38" s="14"/>
      <c r="G38" s="14"/>
      <c r="H38" s="14"/>
      <c r="I38" s="139"/>
      <c r="J38" s="14"/>
      <c r="K38" s="14"/>
      <c r="L38" s="15"/>
    </row>
    <row r="39" spans="1:12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/>
    </row>
    <row r="40" spans="1:12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8"/>
    </row>
  </sheetData>
  <mergeCells count="3">
    <mergeCell ref="A3:D3"/>
    <mergeCell ref="A2:L2"/>
    <mergeCell ref="A1:L1"/>
  </mergeCells>
  <phoneticPr fontId="7" type="noConversion"/>
  <printOptions horizontalCentered="1"/>
  <pageMargins left="0.42" right="0.49" top="0.61" bottom="1" header="0" footer="0"/>
  <pageSetup scale="95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B1:M38"/>
  <sheetViews>
    <sheetView zoomScale="75" zoomScaleNormal="75" workbookViewId="0">
      <selection activeCell="O13" sqref="O13"/>
    </sheetView>
  </sheetViews>
  <sheetFormatPr baseColWidth="10" defaultRowHeight="12.75"/>
  <cols>
    <col min="1" max="1" width="2.7109375" customWidth="1"/>
    <col min="3" max="3" width="5.28515625" customWidth="1"/>
    <col min="8" max="8" width="15.7109375" customWidth="1"/>
    <col min="9" max="9" width="14.5703125" bestFit="1" customWidth="1"/>
    <col min="10" max="10" width="20.28515625" bestFit="1" customWidth="1"/>
    <col min="11" max="11" width="10.85546875" customWidth="1"/>
    <col min="12" max="12" width="6.7109375" customWidth="1"/>
  </cols>
  <sheetData>
    <row r="1" spans="2:13" ht="18">
      <c r="B1" s="342" t="s">
        <v>387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2:13" ht="18">
      <c r="B2" s="342" t="s">
        <v>388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2:13" ht="18">
      <c r="B3" s="343" t="s">
        <v>1134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</row>
    <row r="4" spans="2:13" ht="18.75" thickBot="1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2:13" ht="12.75" customHeight="1">
      <c r="B5" s="314"/>
      <c r="C5" s="315"/>
      <c r="D5" s="315"/>
      <c r="E5" s="316"/>
      <c r="F5" s="316"/>
      <c r="G5" s="316"/>
      <c r="H5" s="316"/>
      <c r="I5" s="316"/>
      <c r="J5" s="316"/>
      <c r="K5" s="316"/>
      <c r="L5" s="316"/>
      <c r="M5" s="317"/>
    </row>
    <row r="6" spans="2:13" ht="12.75" customHeight="1">
      <c r="B6" s="322"/>
      <c r="C6" s="71"/>
      <c r="D6" s="71"/>
      <c r="E6" s="14"/>
      <c r="F6" s="14"/>
      <c r="G6" s="14"/>
      <c r="H6" s="14"/>
      <c r="I6" s="14"/>
      <c r="J6" s="14"/>
      <c r="K6" s="14"/>
      <c r="L6" s="14"/>
      <c r="M6" s="104"/>
    </row>
    <row r="7" spans="2:13" ht="12.75" customHeight="1">
      <c r="B7" s="322"/>
      <c r="C7" s="71"/>
      <c r="D7" s="71"/>
      <c r="E7" s="14"/>
      <c r="F7" s="14"/>
      <c r="G7" s="14"/>
      <c r="H7" s="14"/>
      <c r="I7" s="14"/>
      <c r="J7" s="14"/>
      <c r="K7" s="14"/>
      <c r="L7" s="14"/>
      <c r="M7" s="104"/>
    </row>
    <row r="8" spans="2:13" ht="12.75" customHeight="1">
      <c r="B8" s="322"/>
      <c r="C8" s="71"/>
      <c r="D8" s="71"/>
      <c r="E8" s="14"/>
      <c r="F8" s="14"/>
      <c r="G8" s="14"/>
      <c r="H8" s="14"/>
      <c r="I8" s="14"/>
      <c r="J8" s="14"/>
      <c r="K8" s="14"/>
      <c r="L8" s="14"/>
      <c r="M8" s="104"/>
    </row>
    <row r="9" spans="2:13" ht="12.75" customHeight="1" thickBot="1">
      <c r="B9" s="322"/>
      <c r="C9" s="71"/>
      <c r="D9" s="71"/>
      <c r="E9" s="14"/>
      <c r="F9" s="14"/>
      <c r="G9" s="14"/>
      <c r="H9" s="14"/>
      <c r="I9" s="14"/>
      <c r="J9" s="14"/>
      <c r="K9" s="14"/>
      <c r="L9" s="14"/>
      <c r="M9" s="104"/>
    </row>
    <row r="10" spans="2:13" ht="12.75" customHeight="1">
      <c r="B10" s="322"/>
      <c r="C10" s="314"/>
      <c r="D10" s="315"/>
      <c r="E10" s="316"/>
      <c r="F10" s="316"/>
      <c r="G10" s="316"/>
      <c r="H10" s="316"/>
      <c r="I10" s="316"/>
      <c r="J10" s="316"/>
      <c r="K10" s="317"/>
      <c r="L10" s="14"/>
      <c r="M10" s="104"/>
    </row>
    <row r="11" spans="2:13">
      <c r="B11" s="103"/>
      <c r="C11" s="103"/>
      <c r="D11" s="14"/>
      <c r="E11" s="14"/>
      <c r="F11" s="14"/>
      <c r="G11" s="14"/>
      <c r="H11" s="14"/>
      <c r="I11" s="14"/>
      <c r="J11" s="14"/>
      <c r="K11" s="104"/>
      <c r="L11" s="14"/>
      <c r="M11" s="104"/>
    </row>
    <row r="12" spans="2:13" ht="16.5">
      <c r="B12" s="103"/>
      <c r="C12" s="103"/>
      <c r="D12" s="143" t="s">
        <v>1133</v>
      </c>
      <c r="E12" s="144"/>
      <c r="F12" s="144"/>
      <c r="G12" s="144"/>
      <c r="H12" s="144"/>
      <c r="I12" s="145" t="s">
        <v>389</v>
      </c>
      <c r="J12" s="149">
        <v>28746233.82</v>
      </c>
      <c r="K12" s="104"/>
      <c r="L12" s="14"/>
      <c r="M12" s="104"/>
    </row>
    <row r="13" spans="2:13" ht="16.5">
      <c r="B13" s="103"/>
      <c r="C13" s="103"/>
      <c r="D13" s="144"/>
      <c r="E13" s="144"/>
      <c r="F13" s="144"/>
      <c r="G13" s="144"/>
      <c r="H13" s="144"/>
      <c r="I13" s="144"/>
      <c r="J13" s="144"/>
      <c r="K13" s="104"/>
      <c r="L13" s="14"/>
      <c r="M13" s="104"/>
    </row>
    <row r="14" spans="2:13" ht="16.5">
      <c r="B14" s="103"/>
      <c r="C14" s="103"/>
      <c r="D14" s="144"/>
      <c r="E14" s="144"/>
      <c r="F14" s="144"/>
      <c r="G14" s="144"/>
      <c r="H14" s="144"/>
      <c r="I14" s="144"/>
      <c r="J14" s="144"/>
      <c r="K14" s="104"/>
      <c r="L14" s="14"/>
      <c r="M14" s="104"/>
    </row>
    <row r="15" spans="2:13" ht="16.5">
      <c r="B15" s="103"/>
      <c r="C15" s="103"/>
      <c r="D15" s="143"/>
      <c r="E15" s="144"/>
      <c r="F15" s="144"/>
      <c r="G15" s="144"/>
      <c r="H15" s="144"/>
      <c r="I15" s="144"/>
      <c r="J15" s="146"/>
      <c r="K15" s="104"/>
      <c r="L15" s="14"/>
      <c r="M15" s="104"/>
    </row>
    <row r="16" spans="2:13" ht="16.5">
      <c r="B16" s="103"/>
      <c r="C16" s="318"/>
      <c r="D16" s="144"/>
      <c r="E16" s="144"/>
      <c r="F16" s="144"/>
      <c r="G16" s="144"/>
      <c r="H16" s="144"/>
      <c r="I16" s="144"/>
      <c r="J16" s="144"/>
      <c r="K16" s="104"/>
      <c r="L16" s="14"/>
      <c r="M16" s="104"/>
    </row>
    <row r="17" spans="2:13" ht="16.5">
      <c r="B17" s="103"/>
      <c r="C17" s="318"/>
      <c r="D17" s="147" t="s">
        <v>390</v>
      </c>
      <c r="E17" s="144"/>
      <c r="F17" s="144"/>
      <c r="G17" s="144"/>
      <c r="H17" s="144"/>
      <c r="I17" s="144"/>
      <c r="J17" s="144"/>
      <c r="K17" s="104"/>
      <c r="L17" s="14"/>
      <c r="M17" s="104"/>
    </row>
    <row r="18" spans="2:13" ht="17.25" thickBot="1">
      <c r="B18" s="103"/>
      <c r="C18" s="103"/>
      <c r="D18" s="143" t="s">
        <v>39</v>
      </c>
      <c r="E18" s="144"/>
      <c r="F18" s="144"/>
      <c r="G18" s="144"/>
      <c r="H18" s="144"/>
      <c r="I18" s="144"/>
      <c r="J18" s="148">
        <v>1379061451.24</v>
      </c>
      <c r="K18" s="104"/>
      <c r="L18" s="14"/>
      <c r="M18" s="104"/>
    </row>
    <row r="19" spans="2:13" ht="16.5">
      <c r="B19" s="103"/>
      <c r="C19" s="103"/>
      <c r="D19" s="144"/>
      <c r="E19" s="144"/>
      <c r="F19" s="144"/>
      <c r="G19" s="144"/>
      <c r="H19" s="144"/>
      <c r="I19" s="143" t="s">
        <v>391</v>
      </c>
      <c r="J19" s="149">
        <f>J12+J18</f>
        <v>1407807685.0599999</v>
      </c>
      <c r="K19" s="104"/>
      <c r="L19" s="14"/>
      <c r="M19" s="104"/>
    </row>
    <row r="20" spans="2:13" ht="16.5">
      <c r="B20" s="103"/>
      <c r="C20" s="103"/>
      <c r="D20" s="144"/>
      <c r="E20" s="144"/>
      <c r="F20" s="144"/>
      <c r="G20" s="144"/>
      <c r="H20" s="144"/>
      <c r="I20" s="143"/>
      <c r="J20" s="143"/>
      <c r="K20" s="104"/>
      <c r="L20" s="14"/>
      <c r="M20" s="104"/>
    </row>
    <row r="21" spans="2:13" ht="16.5">
      <c r="B21" s="103"/>
      <c r="C21" s="103"/>
      <c r="D21" s="144"/>
      <c r="E21" s="144"/>
      <c r="F21" s="144"/>
      <c r="G21" s="144"/>
      <c r="H21" s="144"/>
      <c r="I21" s="143"/>
      <c r="J21" s="143"/>
      <c r="K21" s="104"/>
      <c r="L21" s="14"/>
      <c r="M21" s="104"/>
    </row>
    <row r="22" spans="2:13" ht="16.5">
      <c r="B22" s="103"/>
      <c r="C22" s="103"/>
      <c r="D22" s="144"/>
      <c r="E22" s="144"/>
      <c r="F22" s="144"/>
      <c r="G22" s="144"/>
      <c r="H22" s="144"/>
      <c r="I22" s="144"/>
      <c r="J22" s="144"/>
      <c r="K22" s="104"/>
      <c r="L22" s="14"/>
      <c r="M22" s="104"/>
    </row>
    <row r="23" spans="2:13" ht="16.5">
      <c r="B23" s="103"/>
      <c r="C23" s="103"/>
      <c r="D23" s="147" t="s">
        <v>392</v>
      </c>
      <c r="E23" s="144"/>
      <c r="F23" s="144"/>
      <c r="G23" s="144"/>
      <c r="H23" s="144"/>
      <c r="I23" s="144"/>
      <c r="J23" s="144"/>
      <c r="K23" s="104"/>
      <c r="L23" s="14"/>
      <c r="M23" s="104"/>
    </row>
    <row r="24" spans="2:13" ht="17.25" thickBot="1">
      <c r="B24" s="103"/>
      <c r="C24" s="103"/>
      <c r="D24" s="143" t="s">
        <v>393</v>
      </c>
      <c r="E24" s="144"/>
      <c r="F24" s="144"/>
      <c r="G24" s="144"/>
      <c r="H24" s="144"/>
      <c r="I24" s="144"/>
      <c r="J24" s="148">
        <v>1342150454.1700001</v>
      </c>
      <c r="K24" s="104"/>
      <c r="L24" s="14"/>
      <c r="M24" s="104"/>
    </row>
    <row r="25" spans="2:13" ht="16.5">
      <c r="B25" s="103"/>
      <c r="C25" s="103"/>
      <c r="D25" s="144"/>
      <c r="E25" s="144"/>
      <c r="F25" s="144"/>
      <c r="G25" s="144"/>
      <c r="H25" s="144"/>
      <c r="I25" s="144"/>
      <c r="J25" s="144"/>
      <c r="K25" s="104"/>
      <c r="L25" s="14"/>
      <c r="M25" s="104"/>
    </row>
    <row r="26" spans="2:13" ht="17.25" thickBot="1">
      <c r="B26" s="103"/>
      <c r="C26" s="103"/>
      <c r="D26" s="143" t="s">
        <v>1132</v>
      </c>
      <c r="E26" s="144"/>
      <c r="F26" s="144"/>
      <c r="G26" s="144"/>
      <c r="H26" s="144"/>
      <c r="I26" s="145" t="s">
        <v>389</v>
      </c>
      <c r="J26" s="153">
        <f>J19-J24</f>
        <v>65657230.889999866</v>
      </c>
      <c r="K26" s="104"/>
      <c r="L26" s="14"/>
      <c r="M26" s="104"/>
    </row>
    <row r="27" spans="2:13" ht="18.75" thickTop="1">
      <c r="B27" s="103"/>
      <c r="C27" s="103"/>
      <c r="D27" s="150"/>
      <c r="E27" s="151"/>
      <c r="F27" s="151"/>
      <c r="G27" s="151"/>
      <c r="H27" s="151"/>
      <c r="I27" s="151"/>
      <c r="J27" s="154"/>
      <c r="K27" s="104"/>
      <c r="L27" s="14"/>
      <c r="M27" s="104"/>
    </row>
    <row r="28" spans="2:13" ht="18.75" thickBot="1">
      <c r="B28" s="103"/>
      <c r="C28" s="319"/>
      <c r="D28" s="320"/>
      <c r="E28" s="320"/>
      <c r="F28" s="320"/>
      <c r="G28" s="320"/>
      <c r="H28" s="320"/>
      <c r="I28" s="320"/>
      <c r="J28" s="321"/>
      <c r="K28" s="115"/>
      <c r="L28" s="14"/>
      <c r="M28" s="104"/>
    </row>
    <row r="29" spans="2:13">
      <c r="B29" s="103"/>
      <c r="C29" s="48"/>
      <c r="D29" s="14"/>
      <c r="E29" s="14"/>
      <c r="F29" s="14"/>
      <c r="G29" s="14"/>
      <c r="H29" s="14"/>
      <c r="I29" s="14"/>
      <c r="J29" s="14"/>
      <c r="K29" s="14"/>
      <c r="L29" s="14"/>
      <c r="M29" s="104"/>
    </row>
    <row r="30" spans="2:13">
      <c r="B30" s="10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04"/>
    </row>
    <row r="31" spans="2:13">
      <c r="B31" s="10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04"/>
    </row>
    <row r="32" spans="2:13">
      <c r="B32" s="10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04"/>
    </row>
    <row r="33" spans="2:13" ht="13.5" thickBot="1">
      <c r="B33" s="11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5"/>
    </row>
    <row r="38" spans="2:13">
      <c r="M38" s="152"/>
    </row>
  </sheetData>
  <mergeCells count="3">
    <mergeCell ref="B1:M1"/>
    <mergeCell ref="B2:M2"/>
    <mergeCell ref="B3:M3"/>
  </mergeCells>
  <phoneticPr fontId="7" type="noConversion"/>
  <pageMargins left="0.31" right="0.26" top="1" bottom="1" header="0" footer="0"/>
  <pageSetup scale="90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82"/>
  <sheetViews>
    <sheetView topLeftCell="A71" workbookViewId="0">
      <selection activeCell="A3" sqref="A3:D3"/>
    </sheetView>
  </sheetViews>
  <sheetFormatPr baseColWidth="10" defaultColWidth="11.42578125" defaultRowHeight="12.75"/>
  <cols>
    <col min="1" max="1" width="43.42578125" customWidth="1"/>
    <col min="2" max="2" width="51.42578125" bestFit="1" customWidth="1"/>
    <col min="3" max="3" width="19.7109375" style="163" customWidth="1"/>
    <col min="4" max="4" width="20.42578125" customWidth="1"/>
  </cols>
  <sheetData>
    <row r="1" spans="1:4" ht="15.75">
      <c r="A1" s="336" t="s">
        <v>366</v>
      </c>
      <c r="B1" s="336"/>
      <c r="C1" s="336"/>
      <c r="D1" s="336"/>
    </row>
    <row r="2" spans="1:4" ht="15.75">
      <c r="A2" s="336" t="s">
        <v>223</v>
      </c>
      <c r="B2" s="336"/>
      <c r="C2" s="336"/>
      <c r="D2" s="336"/>
    </row>
    <row r="3" spans="1:4" ht="15.75">
      <c r="A3" s="336" t="s">
        <v>1135</v>
      </c>
      <c r="B3" s="336"/>
      <c r="C3" s="336"/>
      <c r="D3" s="336"/>
    </row>
    <row r="4" spans="1:4" ht="13.5" thickBot="1"/>
    <row r="5" spans="1:4">
      <c r="A5" s="346" t="s">
        <v>138</v>
      </c>
      <c r="B5" s="344" t="s">
        <v>139</v>
      </c>
      <c r="C5" s="344" t="s">
        <v>140</v>
      </c>
      <c r="D5" s="344" t="s">
        <v>238</v>
      </c>
    </row>
    <row r="6" spans="1:4" ht="13.5" thickBot="1">
      <c r="A6" s="347"/>
      <c r="B6" s="345"/>
      <c r="C6" s="345"/>
      <c r="D6" s="345"/>
    </row>
    <row r="7" spans="1:4" s="14" customFormat="1" ht="13.5" thickBot="1">
      <c r="A7" s="183"/>
      <c r="B7" s="316"/>
      <c r="C7" s="325"/>
      <c r="D7" s="300"/>
    </row>
    <row r="8" spans="1:4">
      <c r="A8" s="327" t="s">
        <v>1336</v>
      </c>
      <c r="B8" s="328" t="s">
        <v>1337</v>
      </c>
      <c r="C8" s="329">
        <v>10000</v>
      </c>
      <c r="D8" s="317"/>
    </row>
    <row r="9" spans="1:4">
      <c r="A9" s="125" t="s">
        <v>1338</v>
      </c>
      <c r="B9" s="32" t="s">
        <v>1339</v>
      </c>
      <c r="C9" s="323">
        <v>10000</v>
      </c>
      <c r="D9" s="104"/>
    </row>
    <row r="10" spans="1:4">
      <c r="A10" s="125" t="s">
        <v>1340</v>
      </c>
      <c r="B10" s="32" t="s">
        <v>1341</v>
      </c>
      <c r="C10" s="323">
        <v>10000</v>
      </c>
      <c r="D10" s="104"/>
    </row>
    <row r="11" spans="1:4">
      <c r="A11" s="125" t="s">
        <v>1342</v>
      </c>
      <c r="B11" s="32" t="s">
        <v>1343</v>
      </c>
      <c r="C11" s="323">
        <v>10000</v>
      </c>
      <c r="D11" s="104"/>
    </row>
    <row r="12" spans="1:4">
      <c r="A12" s="125" t="s">
        <v>1344</v>
      </c>
      <c r="B12" s="32" t="s">
        <v>1434</v>
      </c>
      <c r="C12" s="323">
        <v>17000</v>
      </c>
      <c r="D12" s="104"/>
    </row>
    <row r="13" spans="1:4">
      <c r="A13" s="125" t="s">
        <v>1433</v>
      </c>
      <c r="B13" s="32" t="s">
        <v>1345</v>
      </c>
      <c r="C13" s="323">
        <v>6000</v>
      </c>
      <c r="D13" s="104"/>
    </row>
    <row r="14" spans="1:4">
      <c r="A14" s="125" t="s">
        <v>1346</v>
      </c>
      <c r="B14" s="32" t="s">
        <v>1347</v>
      </c>
      <c r="C14" s="323">
        <v>57500</v>
      </c>
      <c r="D14" s="104"/>
    </row>
    <row r="15" spans="1:4">
      <c r="A15" s="125" t="s">
        <v>1350</v>
      </c>
      <c r="B15" s="32" t="s">
        <v>1348</v>
      </c>
      <c r="C15" s="323">
        <v>40000</v>
      </c>
      <c r="D15" s="104"/>
    </row>
    <row r="16" spans="1:4">
      <c r="A16" s="125" t="s">
        <v>1442</v>
      </c>
      <c r="B16" s="32" t="s">
        <v>1349</v>
      </c>
      <c r="C16" s="323">
        <v>20000</v>
      </c>
      <c r="D16" s="104"/>
    </row>
    <row r="17" spans="1:4">
      <c r="A17" s="125" t="s">
        <v>1440</v>
      </c>
      <c r="B17" s="32" t="s">
        <v>1351</v>
      </c>
      <c r="C17" s="323">
        <v>30000</v>
      </c>
      <c r="D17" s="104"/>
    </row>
    <row r="18" spans="1:4">
      <c r="A18" s="125" t="s">
        <v>1352</v>
      </c>
      <c r="B18" s="169" t="s">
        <v>1353</v>
      </c>
      <c r="C18" s="323">
        <v>8500</v>
      </c>
      <c r="D18" s="104"/>
    </row>
    <row r="19" spans="1:4">
      <c r="A19" s="125" t="s">
        <v>1354</v>
      </c>
      <c r="B19" s="32" t="s">
        <v>1355</v>
      </c>
      <c r="C19" s="323">
        <v>10000</v>
      </c>
      <c r="D19" s="104"/>
    </row>
    <row r="20" spans="1:4">
      <c r="A20" s="125" t="s">
        <v>1356</v>
      </c>
      <c r="B20" s="32" t="s">
        <v>1357</v>
      </c>
      <c r="C20" s="323">
        <v>7000</v>
      </c>
      <c r="D20" s="104"/>
    </row>
    <row r="21" spans="1:4">
      <c r="A21" s="125" t="s">
        <v>1439</v>
      </c>
      <c r="B21" s="169" t="s">
        <v>1358</v>
      </c>
      <c r="C21" s="323">
        <v>8000</v>
      </c>
      <c r="D21" s="104"/>
    </row>
    <row r="22" spans="1:4">
      <c r="A22" s="125" t="s">
        <v>1359</v>
      </c>
      <c r="B22" s="32" t="s">
        <v>1360</v>
      </c>
      <c r="C22" s="170">
        <v>12000</v>
      </c>
      <c r="D22" s="104"/>
    </row>
    <row r="23" spans="1:4">
      <c r="A23" s="125" t="s">
        <v>1441</v>
      </c>
      <c r="B23" s="32" t="s">
        <v>1361</v>
      </c>
      <c r="C23" s="170">
        <v>10000</v>
      </c>
      <c r="D23" s="104"/>
    </row>
    <row r="24" spans="1:4">
      <c r="A24" s="125" t="s">
        <v>1362</v>
      </c>
      <c r="B24" s="32" t="s">
        <v>1363</v>
      </c>
      <c r="C24" s="170">
        <v>8000</v>
      </c>
      <c r="D24" s="104"/>
    </row>
    <row r="25" spans="1:4">
      <c r="A25" s="125" t="s">
        <v>1424</v>
      </c>
      <c r="B25" s="32" t="s">
        <v>1364</v>
      </c>
      <c r="C25" s="170">
        <v>5000</v>
      </c>
      <c r="D25" s="104"/>
    </row>
    <row r="26" spans="1:4">
      <c r="A26" s="125" t="s">
        <v>1365</v>
      </c>
      <c r="B26" s="32" t="s">
        <v>1366</v>
      </c>
      <c r="C26" s="170">
        <v>40000</v>
      </c>
      <c r="D26" s="104"/>
    </row>
    <row r="27" spans="1:4">
      <c r="A27" s="125" t="s">
        <v>1367</v>
      </c>
      <c r="B27" s="32" t="s">
        <v>50</v>
      </c>
      <c r="C27" s="170">
        <v>16000</v>
      </c>
      <c r="D27" s="104"/>
    </row>
    <row r="28" spans="1:4">
      <c r="A28" s="125" t="s">
        <v>1419</v>
      </c>
      <c r="B28" s="32" t="s">
        <v>1420</v>
      </c>
      <c r="C28" s="170">
        <v>35000</v>
      </c>
      <c r="D28" s="104"/>
    </row>
    <row r="29" spans="1:4">
      <c r="A29" s="125" t="s">
        <v>1427</v>
      </c>
      <c r="B29" s="32" t="s">
        <v>1368</v>
      </c>
      <c r="C29" s="170">
        <v>5000</v>
      </c>
      <c r="D29" s="104"/>
    </row>
    <row r="30" spans="1:4">
      <c r="A30" s="125" t="s">
        <v>1426</v>
      </c>
      <c r="B30" s="32" t="s">
        <v>1369</v>
      </c>
      <c r="C30" s="170">
        <v>10000</v>
      </c>
      <c r="D30" s="104"/>
    </row>
    <row r="31" spans="1:4">
      <c r="A31" s="125" t="s">
        <v>1425</v>
      </c>
      <c r="B31" s="32" t="s">
        <v>1370</v>
      </c>
      <c r="C31" s="170">
        <v>5000</v>
      </c>
      <c r="D31" s="104"/>
    </row>
    <row r="32" spans="1:4">
      <c r="A32" s="125" t="s">
        <v>1371</v>
      </c>
      <c r="B32" s="32" t="s">
        <v>1372</v>
      </c>
      <c r="C32" s="170">
        <v>5000</v>
      </c>
      <c r="D32" s="104"/>
    </row>
    <row r="33" spans="1:4">
      <c r="A33" s="125" t="s">
        <v>1423</v>
      </c>
      <c r="B33" s="32" t="s">
        <v>1373</v>
      </c>
      <c r="C33" s="170">
        <v>10000</v>
      </c>
      <c r="D33" s="104"/>
    </row>
    <row r="34" spans="1:4">
      <c r="A34" s="125" t="s">
        <v>1421</v>
      </c>
      <c r="B34" s="32" t="s">
        <v>1422</v>
      </c>
      <c r="C34" s="170">
        <v>5000</v>
      </c>
      <c r="D34" s="104"/>
    </row>
    <row r="35" spans="1:4">
      <c r="A35" s="125" t="s">
        <v>1374</v>
      </c>
      <c r="B35" s="32" t="s">
        <v>1375</v>
      </c>
      <c r="C35" s="170">
        <v>5000</v>
      </c>
      <c r="D35" s="104"/>
    </row>
    <row r="36" spans="1:4">
      <c r="A36" s="125" t="s">
        <v>1435</v>
      </c>
      <c r="B36" s="32" t="s">
        <v>1436</v>
      </c>
      <c r="C36" s="170">
        <v>5000</v>
      </c>
      <c r="D36" s="104"/>
    </row>
    <row r="37" spans="1:4">
      <c r="A37" s="125" t="s">
        <v>1437</v>
      </c>
      <c r="B37" s="32" t="s">
        <v>1438</v>
      </c>
      <c r="C37" s="170">
        <v>5000</v>
      </c>
      <c r="D37" s="104"/>
    </row>
    <row r="38" spans="1:4">
      <c r="A38" s="125" t="s">
        <v>1376</v>
      </c>
      <c r="B38" s="32" t="s">
        <v>1377</v>
      </c>
      <c r="C38" s="170">
        <v>13000</v>
      </c>
      <c r="D38" s="104"/>
    </row>
    <row r="39" spans="1:4">
      <c r="A39" s="125" t="s">
        <v>1378</v>
      </c>
      <c r="B39" s="32" t="s">
        <v>1379</v>
      </c>
      <c r="C39" s="170">
        <v>13500</v>
      </c>
      <c r="D39" s="104"/>
    </row>
    <row r="40" spans="1:4">
      <c r="A40" s="125" t="s">
        <v>1428</v>
      </c>
      <c r="B40" s="32" t="s">
        <v>921</v>
      </c>
      <c r="C40" s="170">
        <v>10000</v>
      </c>
      <c r="D40" s="104"/>
    </row>
    <row r="41" spans="1:4">
      <c r="A41" s="125" t="s">
        <v>1429</v>
      </c>
      <c r="B41" s="32" t="s">
        <v>1430</v>
      </c>
      <c r="C41" s="170">
        <v>10000</v>
      </c>
      <c r="D41" s="104"/>
    </row>
    <row r="42" spans="1:4">
      <c r="A42" s="125" t="s">
        <v>1431</v>
      </c>
      <c r="B42" s="32" t="s">
        <v>1432</v>
      </c>
      <c r="C42" s="170">
        <v>10000</v>
      </c>
      <c r="D42" s="104"/>
    </row>
    <row r="43" spans="1:4">
      <c r="A43" s="125" t="s">
        <v>1443</v>
      </c>
      <c r="B43" s="32" t="s">
        <v>1444</v>
      </c>
      <c r="C43" s="170">
        <v>4000</v>
      </c>
      <c r="D43" s="104"/>
    </row>
    <row r="44" spans="1:4">
      <c r="A44" s="324" t="s">
        <v>1445</v>
      </c>
      <c r="B44" s="32" t="s">
        <v>1380</v>
      </c>
      <c r="C44" s="170">
        <v>1000</v>
      </c>
      <c r="D44" s="104"/>
    </row>
    <row r="45" spans="1:4">
      <c r="A45" s="324" t="s">
        <v>1447</v>
      </c>
      <c r="B45" s="32" t="s">
        <v>1446</v>
      </c>
      <c r="C45" s="170">
        <v>1000</v>
      </c>
      <c r="D45" s="104"/>
    </row>
    <row r="46" spans="1:4" ht="13.5" thickBot="1">
      <c r="A46" s="330" t="s">
        <v>1449</v>
      </c>
      <c r="B46" s="33" t="s">
        <v>1448</v>
      </c>
      <c r="C46" s="331">
        <v>1000</v>
      </c>
      <c r="D46" s="115"/>
    </row>
    <row r="47" spans="1:4">
      <c r="A47" s="326" t="s">
        <v>1451</v>
      </c>
      <c r="B47" s="7" t="s">
        <v>1450</v>
      </c>
      <c r="C47" s="164">
        <v>1000</v>
      </c>
      <c r="D47" s="104"/>
    </row>
    <row r="48" spans="1:4">
      <c r="A48" s="125" t="s">
        <v>1456</v>
      </c>
      <c r="B48" s="32" t="s">
        <v>1381</v>
      </c>
      <c r="C48" s="170">
        <v>1000</v>
      </c>
      <c r="D48" s="104"/>
    </row>
    <row r="49" spans="1:4">
      <c r="A49" s="125" t="s">
        <v>1455</v>
      </c>
      <c r="B49" s="32" t="s">
        <v>1382</v>
      </c>
      <c r="C49" s="170">
        <v>1000</v>
      </c>
      <c r="D49" s="104"/>
    </row>
    <row r="50" spans="1:4">
      <c r="A50" s="125" t="s">
        <v>1457</v>
      </c>
      <c r="B50" s="32" t="s">
        <v>1383</v>
      </c>
      <c r="C50" s="170">
        <v>1000</v>
      </c>
      <c r="D50" s="104"/>
    </row>
    <row r="51" spans="1:4">
      <c r="A51" s="125" t="s">
        <v>1454</v>
      </c>
      <c r="B51" s="32" t="s">
        <v>1453</v>
      </c>
      <c r="C51" s="170">
        <v>1000</v>
      </c>
      <c r="D51" s="104"/>
    </row>
    <row r="52" spans="1:4">
      <c r="A52" s="125" t="s">
        <v>1384</v>
      </c>
      <c r="B52" s="32" t="s">
        <v>1385</v>
      </c>
      <c r="C52" s="170">
        <v>1000</v>
      </c>
      <c r="D52" s="104"/>
    </row>
    <row r="53" spans="1:4">
      <c r="A53" s="125" t="s">
        <v>1452</v>
      </c>
      <c r="B53" s="32" t="s">
        <v>1385</v>
      </c>
      <c r="C53" s="170">
        <v>1000</v>
      </c>
      <c r="D53" s="104"/>
    </row>
    <row r="54" spans="1:4">
      <c r="A54" s="125" t="s">
        <v>1386</v>
      </c>
      <c r="B54" s="32" t="s">
        <v>1387</v>
      </c>
      <c r="C54" s="170">
        <v>1000</v>
      </c>
      <c r="D54" s="104"/>
    </row>
    <row r="55" spans="1:4">
      <c r="A55" s="125" t="s">
        <v>1388</v>
      </c>
      <c r="B55" s="32" t="s">
        <v>1389</v>
      </c>
      <c r="C55" s="170">
        <v>1000</v>
      </c>
      <c r="D55" s="104"/>
    </row>
    <row r="56" spans="1:4">
      <c r="A56" s="125" t="s">
        <v>1463</v>
      </c>
      <c r="B56" s="32" t="s">
        <v>1390</v>
      </c>
      <c r="C56" s="170">
        <v>2000</v>
      </c>
      <c r="D56" s="104"/>
    </row>
    <row r="57" spans="1:4">
      <c r="A57" s="125" t="s">
        <v>1464</v>
      </c>
      <c r="B57" s="32" t="s">
        <v>1390</v>
      </c>
      <c r="C57" s="170">
        <v>2000</v>
      </c>
      <c r="D57" s="104"/>
    </row>
    <row r="58" spans="1:4">
      <c r="A58" s="125" t="s">
        <v>1391</v>
      </c>
      <c r="B58" s="32" t="s">
        <v>1392</v>
      </c>
      <c r="C58" s="170">
        <v>2000</v>
      </c>
      <c r="D58" s="104"/>
    </row>
    <row r="59" spans="1:4">
      <c r="A59" s="125" t="s">
        <v>1460</v>
      </c>
      <c r="B59" s="32" t="s">
        <v>1392</v>
      </c>
      <c r="C59" s="170">
        <v>2000</v>
      </c>
      <c r="D59" s="104"/>
    </row>
    <row r="60" spans="1:4">
      <c r="A60" s="125" t="s">
        <v>1393</v>
      </c>
      <c r="B60" s="32" t="s">
        <v>1394</v>
      </c>
      <c r="C60" s="170">
        <v>2000</v>
      </c>
      <c r="D60" s="104"/>
    </row>
    <row r="61" spans="1:4">
      <c r="A61" s="125" t="s">
        <v>1395</v>
      </c>
      <c r="B61" s="32" t="s">
        <v>1394</v>
      </c>
      <c r="C61" s="170">
        <v>2000</v>
      </c>
      <c r="D61" s="104"/>
    </row>
    <row r="62" spans="1:4">
      <c r="A62" s="324" t="s">
        <v>1458</v>
      </c>
      <c r="B62" s="32" t="s">
        <v>1396</v>
      </c>
      <c r="C62" s="170">
        <v>2000</v>
      </c>
      <c r="D62" s="104"/>
    </row>
    <row r="63" spans="1:4">
      <c r="A63" s="125" t="s">
        <v>1459</v>
      </c>
      <c r="B63" s="32" t="s">
        <v>1396</v>
      </c>
      <c r="C63" s="170">
        <v>2000</v>
      </c>
      <c r="D63" s="104"/>
    </row>
    <row r="64" spans="1:4">
      <c r="A64" s="125" t="s">
        <v>1397</v>
      </c>
      <c r="B64" s="32" t="s">
        <v>1398</v>
      </c>
      <c r="C64" s="170">
        <v>2000</v>
      </c>
      <c r="D64" s="104"/>
    </row>
    <row r="65" spans="1:4">
      <c r="A65" s="125" t="s">
        <v>1399</v>
      </c>
      <c r="B65" s="32" t="s">
        <v>1400</v>
      </c>
      <c r="C65" s="170">
        <v>2000</v>
      </c>
      <c r="D65" s="104"/>
    </row>
    <row r="66" spans="1:4">
      <c r="A66" s="125" t="s">
        <v>1401</v>
      </c>
      <c r="B66" s="32" t="s">
        <v>1402</v>
      </c>
      <c r="C66" s="170">
        <v>2000</v>
      </c>
      <c r="D66" s="104"/>
    </row>
    <row r="67" spans="1:4">
      <c r="A67" s="125" t="s">
        <v>1403</v>
      </c>
      <c r="B67" s="32" t="s">
        <v>1402</v>
      </c>
      <c r="C67" s="170">
        <v>2000</v>
      </c>
      <c r="D67" s="104"/>
    </row>
    <row r="68" spans="1:4">
      <c r="A68" s="125" t="s">
        <v>1404</v>
      </c>
      <c r="B68" s="32" t="s">
        <v>1405</v>
      </c>
      <c r="C68" s="170">
        <v>2000</v>
      </c>
      <c r="D68" s="104"/>
    </row>
    <row r="69" spans="1:4">
      <c r="A69" s="125" t="s">
        <v>1406</v>
      </c>
      <c r="B69" s="32" t="s">
        <v>1405</v>
      </c>
      <c r="C69" s="170">
        <v>2000</v>
      </c>
      <c r="D69" s="104"/>
    </row>
    <row r="70" spans="1:4">
      <c r="A70" s="125" t="s">
        <v>1407</v>
      </c>
      <c r="B70" s="32" t="s">
        <v>1408</v>
      </c>
      <c r="C70" s="170">
        <v>2000</v>
      </c>
      <c r="D70" s="104"/>
    </row>
    <row r="71" spans="1:4">
      <c r="A71" s="125" t="s">
        <v>1409</v>
      </c>
      <c r="B71" s="32" t="s">
        <v>1410</v>
      </c>
      <c r="C71" s="170">
        <v>2000</v>
      </c>
      <c r="D71" s="104"/>
    </row>
    <row r="72" spans="1:4">
      <c r="A72" s="125" t="s">
        <v>1411</v>
      </c>
      <c r="B72" s="32" t="s">
        <v>1412</v>
      </c>
      <c r="C72" s="170">
        <v>2000</v>
      </c>
      <c r="D72" s="104"/>
    </row>
    <row r="73" spans="1:4">
      <c r="A73" s="125" t="s">
        <v>1413</v>
      </c>
      <c r="B73" s="32" t="s">
        <v>1412</v>
      </c>
      <c r="C73" s="170">
        <v>2000</v>
      </c>
      <c r="D73" s="104"/>
    </row>
    <row r="74" spans="1:4">
      <c r="A74" s="125" t="s">
        <v>1461</v>
      </c>
      <c r="B74" s="32" t="s">
        <v>1414</v>
      </c>
      <c r="C74" s="170">
        <v>2000</v>
      </c>
      <c r="D74" s="104"/>
    </row>
    <row r="75" spans="1:4">
      <c r="A75" s="125" t="s">
        <v>1462</v>
      </c>
      <c r="B75" s="32" t="s">
        <v>1414</v>
      </c>
      <c r="C75" s="170">
        <v>2000</v>
      </c>
      <c r="D75" s="104"/>
    </row>
    <row r="76" spans="1:4">
      <c r="A76" s="125" t="s">
        <v>1415</v>
      </c>
      <c r="B76" s="32" t="s">
        <v>1416</v>
      </c>
      <c r="C76" s="170">
        <v>2000</v>
      </c>
      <c r="D76" s="104"/>
    </row>
    <row r="77" spans="1:4">
      <c r="A77" s="125" t="s">
        <v>1417</v>
      </c>
      <c r="B77" s="32" t="s">
        <v>1418</v>
      </c>
      <c r="C77" s="170">
        <v>2000</v>
      </c>
      <c r="D77" s="104"/>
    </row>
    <row r="78" spans="1:4" ht="13.5" thickBot="1">
      <c r="A78" s="125"/>
      <c r="B78" s="32"/>
      <c r="C78" s="170"/>
      <c r="D78" s="104"/>
    </row>
    <row r="79" spans="1:4" ht="13.5" thickBot="1">
      <c r="A79" s="297" t="s">
        <v>1136</v>
      </c>
      <c r="B79" s="301"/>
      <c r="C79" s="174">
        <f>SUM(C3:C77)</f>
        <v>541500</v>
      </c>
      <c r="D79" s="104"/>
    </row>
    <row r="80" spans="1:4">
      <c r="A80" s="103"/>
      <c r="B80" s="171"/>
      <c r="C80" s="172"/>
      <c r="D80" s="104"/>
    </row>
    <row r="81" spans="1:4">
      <c r="A81" s="103"/>
      <c r="B81" s="14"/>
      <c r="C81" s="162"/>
      <c r="D81" s="104"/>
    </row>
    <row r="82" spans="1:4" ht="13.5" thickBot="1">
      <c r="A82" s="298"/>
      <c r="B82" s="299"/>
      <c r="C82" s="175"/>
      <c r="D82" s="115"/>
    </row>
  </sheetData>
  <mergeCells count="7">
    <mergeCell ref="A1:D1"/>
    <mergeCell ref="A2:D2"/>
    <mergeCell ref="A3:D3"/>
    <mergeCell ref="D5:D6"/>
    <mergeCell ref="A5:A6"/>
    <mergeCell ref="B5:B6"/>
    <mergeCell ref="C5:C6"/>
  </mergeCells>
  <phoneticPr fontId="7" type="noConversion"/>
  <printOptions horizontalCentered="1"/>
  <pageMargins left="0.19685039370078741" right="0.23622047244094491" top="0.19685039370078741" bottom="0.23622047244094491" header="0" footer="0"/>
  <pageSetup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120"/>
  <sheetViews>
    <sheetView workbookViewId="0">
      <selection activeCell="C124" sqref="C124"/>
    </sheetView>
  </sheetViews>
  <sheetFormatPr baseColWidth="10" defaultRowHeight="12.75"/>
  <cols>
    <col min="1" max="1" width="35.85546875" customWidth="1"/>
    <col min="2" max="2" width="41.28515625" style="61" customWidth="1"/>
    <col min="3" max="3" width="29.140625" style="131" customWidth="1"/>
    <col min="4" max="4" width="17.42578125" customWidth="1"/>
  </cols>
  <sheetData>
    <row r="1" spans="1:4" ht="15.75">
      <c r="A1" s="336" t="s">
        <v>1135</v>
      </c>
      <c r="B1" s="336"/>
      <c r="C1" s="336"/>
      <c r="D1" s="336"/>
    </row>
    <row r="2" spans="1:4" ht="15.75">
      <c r="A2" s="336" t="s">
        <v>212</v>
      </c>
      <c r="B2" s="336"/>
      <c r="C2" s="336"/>
      <c r="D2" s="336"/>
    </row>
    <row r="3" spans="1:4" ht="15.75">
      <c r="A3" s="336" t="s">
        <v>366</v>
      </c>
      <c r="B3" s="336"/>
      <c r="C3" s="336"/>
      <c r="D3" s="336"/>
    </row>
    <row r="4" spans="1:4" ht="13.5" thickBot="1"/>
    <row r="5" spans="1:4">
      <c r="A5" s="348" t="s">
        <v>139</v>
      </c>
      <c r="B5" s="348" t="s">
        <v>134</v>
      </c>
      <c r="C5" s="352" t="s">
        <v>135</v>
      </c>
      <c r="D5" s="348" t="s">
        <v>136</v>
      </c>
    </row>
    <row r="6" spans="1:4" ht="13.5" thickBot="1">
      <c r="A6" s="349"/>
      <c r="B6" s="349"/>
      <c r="C6" s="353"/>
      <c r="D6" s="349"/>
    </row>
    <row r="7" spans="1:4">
      <c r="A7" s="127"/>
      <c r="B7" s="64"/>
      <c r="C7" s="65"/>
      <c r="D7" s="65"/>
    </row>
    <row r="8" spans="1:4" ht="13.5" thickBot="1">
      <c r="A8" s="103"/>
      <c r="B8" s="62"/>
      <c r="C8" s="136"/>
      <c r="D8" s="45"/>
    </row>
    <row r="9" spans="1:4">
      <c r="A9" s="288" t="s">
        <v>1178</v>
      </c>
      <c r="B9" s="289" t="s">
        <v>1179</v>
      </c>
      <c r="C9" s="290" t="s">
        <v>1180</v>
      </c>
      <c r="D9" s="166">
        <v>2037625.61</v>
      </c>
    </row>
    <row r="10" spans="1:4">
      <c r="A10" s="288" t="s">
        <v>1181</v>
      </c>
      <c r="B10" s="289" t="s">
        <v>1179</v>
      </c>
      <c r="C10" s="290" t="s">
        <v>1180</v>
      </c>
      <c r="D10" s="167">
        <v>2999949.41</v>
      </c>
    </row>
    <row r="11" spans="1:4">
      <c r="A11" s="288" t="s">
        <v>1182</v>
      </c>
      <c r="B11" s="289" t="s">
        <v>1179</v>
      </c>
      <c r="C11" s="290" t="s">
        <v>1183</v>
      </c>
      <c r="D11" s="167">
        <v>209678.23</v>
      </c>
    </row>
    <row r="12" spans="1:4">
      <c r="A12" s="288" t="s">
        <v>1184</v>
      </c>
      <c r="B12" s="289" t="s">
        <v>1179</v>
      </c>
      <c r="C12" s="290" t="s">
        <v>1183</v>
      </c>
      <c r="D12" s="167">
        <v>0</v>
      </c>
    </row>
    <row r="13" spans="1:4">
      <c r="A13" s="288" t="s">
        <v>1185</v>
      </c>
      <c r="B13" s="289" t="s">
        <v>1179</v>
      </c>
      <c r="C13" s="290" t="s">
        <v>1186</v>
      </c>
      <c r="D13" s="167">
        <v>3642.85</v>
      </c>
    </row>
    <row r="14" spans="1:4">
      <c r="A14" s="288" t="s">
        <v>1187</v>
      </c>
      <c r="B14" s="289" t="s">
        <v>1179</v>
      </c>
      <c r="C14" s="290" t="s">
        <v>1186</v>
      </c>
      <c r="D14" s="167">
        <v>0</v>
      </c>
    </row>
    <row r="15" spans="1:4">
      <c r="A15" s="288" t="s">
        <v>1188</v>
      </c>
      <c r="B15" s="289" t="s">
        <v>1179</v>
      </c>
      <c r="C15" s="290" t="s">
        <v>1189</v>
      </c>
      <c r="D15" s="167">
        <v>16363.71</v>
      </c>
    </row>
    <row r="16" spans="1:4">
      <c r="A16" s="288" t="s">
        <v>1190</v>
      </c>
      <c r="B16" s="289" t="s">
        <v>1179</v>
      </c>
      <c r="C16" s="290" t="s">
        <v>1189</v>
      </c>
      <c r="D16" s="167">
        <v>149982.10999999999</v>
      </c>
    </row>
    <row r="17" spans="1:4">
      <c r="A17" s="288" t="s">
        <v>1191</v>
      </c>
      <c r="B17" s="289" t="s">
        <v>1179</v>
      </c>
      <c r="C17" s="290" t="s">
        <v>1192</v>
      </c>
      <c r="D17" s="167">
        <v>3575.37</v>
      </c>
    </row>
    <row r="18" spans="1:4">
      <c r="A18" s="288" t="s">
        <v>1193</v>
      </c>
      <c r="B18" s="289" t="s">
        <v>1179</v>
      </c>
      <c r="C18" s="290" t="s">
        <v>1192</v>
      </c>
      <c r="D18" s="167">
        <v>84026.49</v>
      </c>
    </row>
    <row r="19" spans="1:4">
      <c r="A19" s="288" t="s">
        <v>1194</v>
      </c>
      <c r="B19" s="289" t="s">
        <v>1179</v>
      </c>
      <c r="C19" s="290" t="s">
        <v>1195</v>
      </c>
      <c r="D19" s="167">
        <v>59892.33</v>
      </c>
    </row>
    <row r="20" spans="1:4">
      <c r="A20" s="288" t="s">
        <v>1196</v>
      </c>
      <c r="B20" s="289" t="s">
        <v>1179</v>
      </c>
      <c r="C20" s="290" t="s">
        <v>1195</v>
      </c>
      <c r="D20" s="167">
        <v>1604239.07</v>
      </c>
    </row>
    <row r="21" spans="1:4">
      <c r="A21" s="288" t="s">
        <v>1197</v>
      </c>
      <c r="B21" s="289" t="s">
        <v>1179</v>
      </c>
      <c r="C21" s="290" t="s">
        <v>1198</v>
      </c>
      <c r="D21" s="167">
        <v>7475.53</v>
      </c>
    </row>
    <row r="22" spans="1:4">
      <c r="A22" s="288" t="s">
        <v>1199</v>
      </c>
      <c r="B22" s="289" t="s">
        <v>1179</v>
      </c>
      <c r="C22" s="290" t="s">
        <v>1198</v>
      </c>
      <c r="D22" s="167">
        <v>0</v>
      </c>
    </row>
    <row r="23" spans="1:4">
      <c r="A23" s="288" t="s">
        <v>417</v>
      </c>
      <c r="B23" s="289" t="s">
        <v>1179</v>
      </c>
      <c r="C23" s="290" t="s">
        <v>1200</v>
      </c>
      <c r="D23" s="167">
        <v>52876.04</v>
      </c>
    </row>
    <row r="24" spans="1:4">
      <c r="A24" s="288" t="s">
        <v>1201</v>
      </c>
      <c r="B24" s="289" t="s">
        <v>1179</v>
      </c>
      <c r="C24" s="290" t="s">
        <v>1200</v>
      </c>
      <c r="D24" s="167">
        <v>1601241.43</v>
      </c>
    </row>
    <row r="25" spans="1:4">
      <c r="A25" s="288" t="s">
        <v>1202</v>
      </c>
      <c r="B25" s="289" t="s">
        <v>1179</v>
      </c>
      <c r="C25" s="290" t="s">
        <v>1203</v>
      </c>
      <c r="D25" s="167">
        <v>74108.850000000006</v>
      </c>
    </row>
    <row r="26" spans="1:4">
      <c r="A26" s="288" t="s">
        <v>1204</v>
      </c>
      <c r="B26" s="289" t="s">
        <v>1179</v>
      </c>
      <c r="C26" s="290" t="s">
        <v>1203</v>
      </c>
      <c r="D26" s="167">
        <v>400385.3</v>
      </c>
    </row>
    <row r="27" spans="1:4">
      <c r="A27" s="288" t="s">
        <v>1205</v>
      </c>
      <c r="B27" s="289" t="s">
        <v>1179</v>
      </c>
      <c r="C27" s="290" t="s">
        <v>1206</v>
      </c>
      <c r="D27" s="167">
        <v>2278.81</v>
      </c>
    </row>
    <row r="28" spans="1:4">
      <c r="A28" s="288" t="s">
        <v>1207</v>
      </c>
      <c r="B28" s="289" t="s">
        <v>1179</v>
      </c>
      <c r="C28" s="290" t="s">
        <v>1208</v>
      </c>
      <c r="D28" s="167">
        <v>16717.34</v>
      </c>
    </row>
    <row r="29" spans="1:4">
      <c r="A29" s="288" t="s">
        <v>1209</v>
      </c>
      <c r="B29" s="289" t="s">
        <v>1179</v>
      </c>
      <c r="C29" s="290" t="s">
        <v>1208</v>
      </c>
      <c r="D29" s="167">
        <v>160272.31</v>
      </c>
    </row>
    <row r="30" spans="1:4">
      <c r="A30" s="288" t="s">
        <v>1210</v>
      </c>
      <c r="B30" s="289" t="s">
        <v>1179</v>
      </c>
      <c r="C30" s="290" t="s">
        <v>1211</v>
      </c>
      <c r="D30" s="167">
        <v>5545.62</v>
      </c>
    </row>
    <row r="31" spans="1:4">
      <c r="A31" s="288" t="s">
        <v>1212</v>
      </c>
      <c r="B31" s="289" t="s">
        <v>1179</v>
      </c>
      <c r="C31" s="290" t="s">
        <v>1211</v>
      </c>
      <c r="D31" s="167">
        <v>0</v>
      </c>
    </row>
    <row r="32" spans="1:4">
      <c r="A32" s="288" t="s">
        <v>1213</v>
      </c>
      <c r="B32" s="289" t="s">
        <v>1179</v>
      </c>
      <c r="C32" s="290" t="s">
        <v>1214</v>
      </c>
      <c r="D32" s="167">
        <v>32064.98</v>
      </c>
    </row>
    <row r="33" spans="1:4">
      <c r="A33" s="288" t="s">
        <v>1215</v>
      </c>
      <c r="B33" s="289" t="s">
        <v>1179</v>
      </c>
      <c r="C33" s="290" t="s">
        <v>1214</v>
      </c>
      <c r="D33" s="167">
        <v>398486.79</v>
      </c>
    </row>
    <row r="34" spans="1:4">
      <c r="A34" s="288" t="s">
        <v>1216</v>
      </c>
      <c r="B34" s="289" t="s">
        <v>1179</v>
      </c>
      <c r="C34" s="290" t="s">
        <v>1217</v>
      </c>
      <c r="D34" s="34">
        <v>34483.980000000003</v>
      </c>
    </row>
    <row r="35" spans="1:4">
      <c r="A35" s="288" t="s">
        <v>1218</v>
      </c>
      <c r="B35" s="289" t="s">
        <v>1179</v>
      </c>
      <c r="C35" s="290" t="s">
        <v>1217</v>
      </c>
      <c r="D35" s="167">
        <v>419770.06</v>
      </c>
    </row>
    <row r="36" spans="1:4">
      <c r="A36" s="288" t="s">
        <v>1219</v>
      </c>
      <c r="B36" s="289" t="s">
        <v>1179</v>
      </c>
      <c r="C36" s="290" t="s">
        <v>1220</v>
      </c>
      <c r="D36" s="167">
        <v>10104.780000000001</v>
      </c>
    </row>
    <row r="37" spans="1:4">
      <c r="A37" s="288" t="s">
        <v>1221</v>
      </c>
      <c r="B37" s="289" t="s">
        <v>1179</v>
      </c>
      <c r="C37" s="290" t="s">
        <v>1220</v>
      </c>
      <c r="D37" s="167">
        <v>0</v>
      </c>
    </row>
    <row r="38" spans="1:4">
      <c r="A38" s="288" t="s">
        <v>1222</v>
      </c>
      <c r="B38" s="289" t="s">
        <v>1179</v>
      </c>
      <c r="C38" s="290" t="s">
        <v>1223</v>
      </c>
      <c r="D38" s="167">
        <v>0</v>
      </c>
    </row>
    <row r="39" spans="1:4">
      <c r="A39" s="288" t="s">
        <v>1224</v>
      </c>
      <c r="B39" s="289" t="s">
        <v>1179</v>
      </c>
      <c r="C39" s="290" t="s">
        <v>1223</v>
      </c>
      <c r="D39" s="167">
        <v>0</v>
      </c>
    </row>
    <row r="40" spans="1:4">
      <c r="A40" s="288" t="s">
        <v>474</v>
      </c>
      <c r="B40" s="289" t="s">
        <v>1179</v>
      </c>
      <c r="C40" s="290" t="s">
        <v>1225</v>
      </c>
      <c r="D40" s="167">
        <v>61470.94</v>
      </c>
    </row>
    <row r="41" spans="1:4">
      <c r="A41" s="288" t="s">
        <v>1226</v>
      </c>
      <c r="B41" s="289" t="s">
        <v>1179</v>
      </c>
      <c r="C41" s="290" t="s">
        <v>1225</v>
      </c>
      <c r="D41" s="167">
        <v>3809347.35</v>
      </c>
    </row>
    <row r="42" spans="1:4">
      <c r="A42" s="288" t="s">
        <v>1227</v>
      </c>
      <c r="B42" s="289" t="s">
        <v>1179</v>
      </c>
      <c r="C42" s="290" t="s">
        <v>1228</v>
      </c>
      <c r="D42" s="167">
        <v>21086.78</v>
      </c>
    </row>
    <row r="43" spans="1:4">
      <c r="A43" s="288" t="s">
        <v>1229</v>
      </c>
      <c r="B43" s="289" t="s">
        <v>1179</v>
      </c>
      <c r="C43" s="290" t="s">
        <v>1228</v>
      </c>
      <c r="D43" s="167">
        <v>170221.18</v>
      </c>
    </row>
    <row r="44" spans="1:4">
      <c r="A44" s="288" t="s">
        <v>1230</v>
      </c>
      <c r="B44" s="289" t="s">
        <v>1179</v>
      </c>
      <c r="C44" s="290" t="s">
        <v>1231</v>
      </c>
      <c r="D44" s="167">
        <v>28899.82</v>
      </c>
    </row>
    <row r="45" spans="1:4">
      <c r="A45" s="288" t="s">
        <v>1232</v>
      </c>
      <c r="B45" s="289" t="s">
        <v>1179</v>
      </c>
      <c r="C45" s="290" t="s">
        <v>1231</v>
      </c>
      <c r="D45" s="167">
        <v>170221.18</v>
      </c>
    </row>
    <row r="46" spans="1:4">
      <c r="A46" s="288" t="s">
        <v>532</v>
      </c>
      <c r="B46" s="289" t="s">
        <v>1179</v>
      </c>
      <c r="C46" s="290" t="s">
        <v>1233</v>
      </c>
      <c r="D46" s="167">
        <v>7588.73</v>
      </c>
    </row>
    <row r="47" spans="1:4">
      <c r="A47" s="288" t="s">
        <v>1234</v>
      </c>
      <c r="B47" s="289" t="s">
        <v>1179</v>
      </c>
      <c r="C47" s="290" t="s">
        <v>1233</v>
      </c>
      <c r="D47" s="167">
        <v>71984.44</v>
      </c>
    </row>
    <row r="48" spans="1:4">
      <c r="A48" s="288" t="s">
        <v>549</v>
      </c>
      <c r="B48" s="289" t="s">
        <v>1179</v>
      </c>
      <c r="C48" s="290" t="s">
        <v>1235</v>
      </c>
      <c r="D48" s="167">
        <v>0</v>
      </c>
    </row>
    <row r="49" spans="1:4">
      <c r="A49" s="288" t="s">
        <v>1236</v>
      </c>
      <c r="B49" s="289" t="s">
        <v>1179</v>
      </c>
      <c r="C49" s="290" t="s">
        <v>1235</v>
      </c>
      <c r="D49" s="167">
        <v>0</v>
      </c>
    </row>
    <row r="50" spans="1:4">
      <c r="A50" s="288" t="s">
        <v>1237</v>
      </c>
      <c r="B50" s="289" t="s">
        <v>1179</v>
      </c>
      <c r="C50" s="290" t="s">
        <v>1238</v>
      </c>
      <c r="D50" s="34">
        <v>12931.82</v>
      </c>
    </row>
    <row r="51" spans="1:4">
      <c r="A51" s="288" t="s">
        <v>1239</v>
      </c>
      <c r="B51" s="289" t="s">
        <v>1179</v>
      </c>
      <c r="C51" s="290" t="s">
        <v>1238</v>
      </c>
      <c r="D51" s="34">
        <v>182850.34</v>
      </c>
    </row>
    <row r="52" spans="1:4">
      <c r="A52" s="288" t="s">
        <v>1240</v>
      </c>
      <c r="B52" s="289" t="s">
        <v>1179</v>
      </c>
      <c r="C52" s="290" t="s">
        <v>1241</v>
      </c>
      <c r="D52" s="34">
        <v>4988.28</v>
      </c>
    </row>
    <row r="53" spans="1:4">
      <c r="A53" s="288" t="s">
        <v>1242</v>
      </c>
      <c r="B53" s="289" t="s">
        <v>1179</v>
      </c>
      <c r="C53" s="290" t="s">
        <v>1241</v>
      </c>
      <c r="D53" s="34">
        <v>0</v>
      </c>
    </row>
    <row r="54" spans="1:4">
      <c r="A54" s="288" t="s">
        <v>1243</v>
      </c>
      <c r="B54" s="289" t="s">
        <v>1179</v>
      </c>
      <c r="C54" s="290" t="s">
        <v>1244</v>
      </c>
      <c r="D54" s="34">
        <v>20921.169999999998</v>
      </c>
    </row>
    <row r="55" spans="1:4">
      <c r="A55" s="288" t="s">
        <v>1245</v>
      </c>
      <c r="B55" s="289" t="s">
        <v>1179</v>
      </c>
      <c r="C55" s="290" t="s">
        <v>1244</v>
      </c>
      <c r="D55" s="34">
        <v>270351.31</v>
      </c>
    </row>
    <row r="56" spans="1:4">
      <c r="A56" s="288" t="s">
        <v>1246</v>
      </c>
      <c r="B56" s="289" t="s">
        <v>1179</v>
      </c>
      <c r="C56" s="290" t="s">
        <v>1247</v>
      </c>
      <c r="D56" s="34">
        <v>8605.85</v>
      </c>
    </row>
    <row r="57" spans="1:4">
      <c r="A57" s="288" t="s">
        <v>1248</v>
      </c>
      <c r="B57" s="289" t="s">
        <v>1179</v>
      </c>
      <c r="C57" s="290" t="s">
        <v>1247</v>
      </c>
      <c r="D57" s="34">
        <v>0</v>
      </c>
    </row>
    <row r="58" spans="1:4">
      <c r="A58" s="288" t="s">
        <v>1249</v>
      </c>
      <c r="B58" s="289" t="s">
        <v>1179</v>
      </c>
      <c r="C58" s="290" t="s">
        <v>1250</v>
      </c>
      <c r="D58" s="34">
        <v>83197.97</v>
      </c>
    </row>
    <row r="59" spans="1:4">
      <c r="A59" s="288" t="s">
        <v>1251</v>
      </c>
      <c r="B59" s="289" t="s">
        <v>1179</v>
      </c>
      <c r="C59" s="290" t="s">
        <v>1250</v>
      </c>
      <c r="D59" s="34">
        <v>0</v>
      </c>
    </row>
    <row r="60" spans="1:4">
      <c r="A60" s="288" t="s">
        <v>614</v>
      </c>
      <c r="B60" s="289" t="s">
        <v>1179</v>
      </c>
      <c r="C60" s="290" t="s">
        <v>1252</v>
      </c>
      <c r="D60" s="34">
        <v>1703.31</v>
      </c>
    </row>
    <row r="61" spans="1:4">
      <c r="A61" s="288" t="s">
        <v>610</v>
      </c>
      <c r="B61" s="289" t="s">
        <v>1179</v>
      </c>
      <c r="C61" s="290" t="s">
        <v>1253</v>
      </c>
      <c r="D61" s="34">
        <v>7184.24</v>
      </c>
    </row>
    <row r="62" spans="1:4">
      <c r="A62" s="288" t="s">
        <v>1254</v>
      </c>
      <c r="B62" s="289" t="s">
        <v>1179</v>
      </c>
      <c r="C62" s="290" t="s">
        <v>1253</v>
      </c>
      <c r="D62" s="34">
        <v>0</v>
      </c>
    </row>
    <row r="63" spans="1:4">
      <c r="A63" s="288" t="s">
        <v>1255</v>
      </c>
      <c r="B63" s="289" t="s">
        <v>1179</v>
      </c>
      <c r="C63" s="291" t="s">
        <v>1256</v>
      </c>
      <c r="D63" s="167">
        <v>14964.63</v>
      </c>
    </row>
    <row r="64" spans="1:4">
      <c r="A64" s="288" t="s">
        <v>1257</v>
      </c>
      <c r="B64" s="289" t="s">
        <v>1179</v>
      </c>
      <c r="C64" s="291" t="s">
        <v>1256</v>
      </c>
      <c r="D64" s="167">
        <v>0</v>
      </c>
    </row>
    <row r="65" spans="1:4">
      <c r="A65" s="288" t="s">
        <v>1162</v>
      </c>
      <c r="B65" s="289" t="s">
        <v>1179</v>
      </c>
      <c r="C65" s="292" t="s">
        <v>1258</v>
      </c>
      <c r="D65" s="167">
        <v>61009.37</v>
      </c>
    </row>
    <row r="66" spans="1:4">
      <c r="A66" s="288" t="s">
        <v>1259</v>
      </c>
      <c r="B66" s="289" t="s">
        <v>1179</v>
      </c>
      <c r="C66" s="292" t="s">
        <v>1258</v>
      </c>
      <c r="D66" s="34">
        <v>0</v>
      </c>
    </row>
    <row r="67" spans="1:4">
      <c r="A67" s="288" t="s">
        <v>1260</v>
      </c>
      <c r="B67" s="289" t="s">
        <v>1179</v>
      </c>
      <c r="C67" s="292" t="s">
        <v>1261</v>
      </c>
      <c r="D67" s="34">
        <v>89217.99</v>
      </c>
    </row>
    <row r="68" spans="1:4">
      <c r="A68" s="288" t="s">
        <v>1262</v>
      </c>
      <c r="B68" s="289" t="s">
        <v>1179</v>
      </c>
      <c r="C68" s="292" t="s">
        <v>1261</v>
      </c>
      <c r="D68" s="34">
        <v>803868.16000000003</v>
      </c>
    </row>
    <row r="69" spans="1:4">
      <c r="A69" s="293" t="s">
        <v>1263</v>
      </c>
      <c r="B69" s="289" t="s">
        <v>1179</v>
      </c>
      <c r="C69" s="292" t="s">
        <v>1264</v>
      </c>
      <c r="D69" s="34">
        <v>150138.23999999999</v>
      </c>
    </row>
    <row r="70" spans="1:4">
      <c r="A70" s="288" t="s">
        <v>1265</v>
      </c>
      <c r="B70" s="289" t="s">
        <v>1179</v>
      </c>
      <c r="C70" s="290" t="s">
        <v>1264</v>
      </c>
      <c r="D70" s="34">
        <v>80000</v>
      </c>
    </row>
    <row r="71" spans="1:4">
      <c r="A71" s="293" t="s">
        <v>1266</v>
      </c>
      <c r="B71" s="289" t="s">
        <v>1179</v>
      </c>
      <c r="C71" s="292" t="s">
        <v>1267</v>
      </c>
      <c r="D71" s="34">
        <v>50897.05</v>
      </c>
    </row>
    <row r="72" spans="1:4">
      <c r="A72" s="294" t="s">
        <v>1268</v>
      </c>
      <c r="B72" s="289" t="s">
        <v>1179</v>
      </c>
      <c r="C72" s="290" t="s">
        <v>1267</v>
      </c>
      <c r="D72" s="34">
        <v>902190.88</v>
      </c>
    </row>
    <row r="73" spans="1:4">
      <c r="A73" s="293" t="s">
        <v>1269</v>
      </c>
      <c r="B73" s="289" t="s">
        <v>1179</v>
      </c>
      <c r="C73" s="292" t="s">
        <v>1270</v>
      </c>
      <c r="D73" s="34">
        <v>-788393.85</v>
      </c>
    </row>
    <row r="74" spans="1:4">
      <c r="A74" s="293" t="s">
        <v>1271</v>
      </c>
      <c r="B74" s="289" t="s">
        <v>1179</v>
      </c>
      <c r="C74" s="292" t="s">
        <v>1270</v>
      </c>
      <c r="D74" s="34">
        <v>1204553.23</v>
      </c>
    </row>
    <row r="75" spans="1:4">
      <c r="A75" s="293" t="s">
        <v>1272</v>
      </c>
      <c r="B75" s="289" t="s">
        <v>1179</v>
      </c>
      <c r="C75" s="292" t="s">
        <v>1273</v>
      </c>
      <c r="D75" s="34">
        <v>285279.67</v>
      </c>
    </row>
    <row r="76" spans="1:4">
      <c r="A76" s="294" t="s">
        <v>1274</v>
      </c>
      <c r="B76" s="295" t="s">
        <v>1179</v>
      </c>
      <c r="C76" s="292" t="s">
        <v>1273</v>
      </c>
      <c r="D76" s="34">
        <v>250225.16</v>
      </c>
    </row>
    <row r="77" spans="1:4">
      <c r="A77" s="294" t="s">
        <v>1275</v>
      </c>
      <c r="B77" s="295" t="s">
        <v>1179</v>
      </c>
      <c r="C77" s="290" t="s">
        <v>1276</v>
      </c>
      <c r="D77" s="34">
        <v>0</v>
      </c>
    </row>
    <row r="78" spans="1:4">
      <c r="A78" s="294" t="s">
        <v>1277</v>
      </c>
      <c r="B78" s="295" t="s">
        <v>1179</v>
      </c>
      <c r="C78" s="290" t="s">
        <v>1267</v>
      </c>
      <c r="D78" s="34">
        <v>0</v>
      </c>
    </row>
    <row r="79" spans="1:4">
      <c r="A79" s="288" t="s">
        <v>1178</v>
      </c>
      <c r="B79" s="289" t="s">
        <v>1278</v>
      </c>
      <c r="C79" s="290" t="s">
        <v>1279</v>
      </c>
      <c r="D79" s="34">
        <v>173215.51</v>
      </c>
    </row>
    <row r="80" spans="1:4">
      <c r="A80" s="288" t="s">
        <v>1280</v>
      </c>
      <c r="B80" s="289" t="s">
        <v>1278</v>
      </c>
      <c r="C80" s="290" t="s">
        <v>1279</v>
      </c>
      <c r="D80" s="34">
        <v>603994.86</v>
      </c>
    </row>
    <row r="81" spans="1:4">
      <c r="A81" s="288" t="s">
        <v>1178</v>
      </c>
      <c r="B81" s="289" t="s">
        <v>1278</v>
      </c>
      <c r="C81" s="290" t="s">
        <v>1281</v>
      </c>
      <c r="D81" s="34">
        <v>20917.02</v>
      </c>
    </row>
    <row r="82" spans="1:4">
      <c r="A82" s="288" t="s">
        <v>1280</v>
      </c>
      <c r="B82" s="289" t="s">
        <v>1278</v>
      </c>
      <c r="C82" s="290" t="s">
        <v>1281</v>
      </c>
      <c r="D82" s="34">
        <v>0</v>
      </c>
    </row>
    <row r="83" spans="1:4">
      <c r="A83" s="288" t="s">
        <v>1282</v>
      </c>
      <c r="B83" s="289" t="s">
        <v>1278</v>
      </c>
      <c r="C83" s="290" t="s">
        <v>1283</v>
      </c>
      <c r="D83" s="34">
        <v>14500.44</v>
      </c>
    </row>
    <row r="84" spans="1:4">
      <c r="A84" s="288" t="s">
        <v>1284</v>
      </c>
      <c r="B84" s="289" t="s">
        <v>1278</v>
      </c>
      <c r="C84" s="290" t="s">
        <v>1283</v>
      </c>
      <c r="D84" s="34">
        <v>0</v>
      </c>
    </row>
    <row r="85" spans="1:4">
      <c r="A85" s="288" t="s">
        <v>1285</v>
      </c>
      <c r="B85" s="289" t="s">
        <v>1278</v>
      </c>
      <c r="C85" s="290" t="s">
        <v>1286</v>
      </c>
      <c r="D85" s="34">
        <v>10227.959999999999</v>
      </c>
    </row>
    <row r="86" spans="1:4">
      <c r="A86" s="288" t="s">
        <v>1287</v>
      </c>
      <c r="B86" s="289" t="s">
        <v>1278</v>
      </c>
      <c r="C86" s="290" t="s">
        <v>1286</v>
      </c>
      <c r="D86" s="34">
        <v>90859.37</v>
      </c>
    </row>
    <row r="87" spans="1:4">
      <c r="A87" s="288" t="s">
        <v>1288</v>
      </c>
      <c r="B87" s="289" t="s">
        <v>1278</v>
      </c>
      <c r="C87" s="290" t="s">
        <v>1289</v>
      </c>
      <c r="D87" s="34">
        <v>16509.63</v>
      </c>
    </row>
    <row r="88" spans="1:4">
      <c r="A88" s="288" t="s">
        <v>1290</v>
      </c>
      <c r="B88" s="289" t="s">
        <v>1278</v>
      </c>
      <c r="C88" s="290" t="s">
        <v>1289</v>
      </c>
      <c r="D88" s="34">
        <v>0</v>
      </c>
    </row>
    <row r="89" spans="1:4">
      <c r="A89" s="288" t="s">
        <v>1291</v>
      </c>
      <c r="B89" s="289" t="s">
        <v>1278</v>
      </c>
      <c r="C89" s="290" t="s">
        <v>1292</v>
      </c>
      <c r="D89" s="34">
        <v>24036.42</v>
      </c>
    </row>
    <row r="90" spans="1:4">
      <c r="A90" s="288" t="s">
        <v>1293</v>
      </c>
      <c r="B90" s="289" t="s">
        <v>1278</v>
      </c>
      <c r="C90" s="290" t="s">
        <v>1292</v>
      </c>
      <c r="D90" s="34">
        <v>151745.51999999999</v>
      </c>
    </row>
    <row r="91" spans="1:4">
      <c r="A91" s="288" t="s">
        <v>1294</v>
      </c>
      <c r="B91" s="288" t="s">
        <v>1295</v>
      </c>
      <c r="C91" s="290">
        <v>166024371</v>
      </c>
      <c r="D91" s="34">
        <v>1528875.12</v>
      </c>
    </row>
    <row r="92" spans="1:4">
      <c r="A92" s="288" t="s">
        <v>1296</v>
      </c>
      <c r="B92" s="288" t="s">
        <v>1295</v>
      </c>
      <c r="C92" s="290">
        <v>166024371</v>
      </c>
      <c r="D92" s="34">
        <v>0</v>
      </c>
    </row>
    <row r="93" spans="1:4">
      <c r="A93" s="288" t="s">
        <v>1297</v>
      </c>
      <c r="B93" s="288" t="s">
        <v>1295</v>
      </c>
      <c r="C93" s="290">
        <v>171913040</v>
      </c>
      <c r="D93" s="34">
        <v>63778.12</v>
      </c>
    </row>
    <row r="94" spans="1:4">
      <c r="A94" s="288" t="s">
        <v>1298</v>
      </c>
      <c r="B94" s="288" t="s">
        <v>1295</v>
      </c>
      <c r="C94" s="290">
        <v>171913040</v>
      </c>
      <c r="D94" s="34">
        <v>301071.5</v>
      </c>
    </row>
    <row r="95" spans="1:4">
      <c r="A95" s="288" t="s">
        <v>1178</v>
      </c>
      <c r="B95" s="288" t="s">
        <v>1295</v>
      </c>
      <c r="C95" s="290" t="s">
        <v>1299</v>
      </c>
      <c r="D95" s="34">
        <v>582260.23</v>
      </c>
    </row>
    <row r="96" spans="1:4">
      <c r="A96" s="288" t="s">
        <v>1300</v>
      </c>
      <c r="B96" s="288" t="s">
        <v>1295</v>
      </c>
      <c r="C96" s="290" t="s">
        <v>1299</v>
      </c>
      <c r="D96" s="34">
        <v>1500000</v>
      </c>
    </row>
    <row r="97" spans="1:4">
      <c r="A97" s="288" t="s">
        <v>1178</v>
      </c>
      <c r="B97" s="288" t="s">
        <v>1295</v>
      </c>
      <c r="C97" s="290">
        <v>622551261</v>
      </c>
      <c r="D97" s="34">
        <v>1119999.1299999999</v>
      </c>
    </row>
    <row r="98" spans="1:4">
      <c r="A98" s="288" t="s">
        <v>1301</v>
      </c>
      <c r="B98" s="288" t="s">
        <v>1295</v>
      </c>
      <c r="C98" s="290">
        <v>622551337</v>
      </c>
      <c r="D98" s="34">
        <v>24469.040000000001</v>
      </c>
    </row>
    <row r="99" spans="1:4">
      <c r="A99" s="288" t="s">
        <v>1302</v>
      </c>
      <c r="B99" s="288" t="s">
        <v>1295</v>
      </c>
      <c r="C99" s="290">
        <v>622551337</v>
      </c>
      <c r="D99" s="34">
        <v>301530.03000000003</v>
      </c>
    </row>
    <row r="100" spans="1:4">
      <c r="A100" s="288" t="s">
        <v>1303</v>
      </c>
      <c r="B100" s="288" t="s">
        <v>1295</v>
      </c>
      <c r="C100" s="290">
        <v>622551328</v>
      </c>
      <c r="D100" s="34">
        <v>-324228.74</v>
      </c>
    </row>
    <row r="101" spans="1:4">
      <c r="A101" s="288" t="s">
        <v>1304</v>
      </c>
      <c r="B101" s="288" t="s">
        <v>1295</v>
      </c>
      <c r="C101" s="290">
        <v>622551328</v>
      </c>
      <c r="D101" s="34">
        <v>1908698.25</v>
      </c>
    </row>
    <row r="102" spans="1:4">
      <c r="A102" s="288" t="s">
        <v>1305</v>
      </c>
      <c r="B102" s="288" t="s">
        <v>1295</v>
      </c>
      <c r="C102" s="290">
        <v>625087604</v>
      </c>
      <c r="D102" s="34">
        <v>-10133.82</v>
      </c>
    </row>
    <row r="103" spans="1:4">
      <c r="A103" s="288" t="s">
        <v>1306</v>
      </c>
      <c r="B103" s="288" t="s">
        <v>1295</v>
      </c>
      <c r="C103" s="290">
        <v>625087604</v>
      </c>
      <c r="D103" s="34">
        <v>250186.93</v>
      </c>
    </row>
    <row r="104" spans="1:4">
      <c r="A104" s="288" t="s">
        <v>1307</v>
      </c>
      <c r="B104" s="289" t="s">
        <v>1308</v>
      </c>
      <c r="C104" s="290">
        <v>144280458</v>
      </c>
      <c r="D104" s="34">
        <v>56159.56</v>
      </c>
    </row>
    <row r="105" spans="1:4">
      <c r="A105" s="288" t="s">
        <v>1309</v>
      </c>
      <c r="B105" s="289" t="s">
        <v>1308</v>
      </c>
      <c r="C105" s="290">
        <v>144280458</v>
      </c>
      <c r="D105" s="34">
        <v>3162306.64</v>
      </c>
    </row>
    <row r="106" spans="1:4">
      <c r="A106" s="288" t="s">
        <v>1310</v>
      </c>
      <c r="B106" s="289" t="s">
        <v>1311</v>
      </c>
      <c r="C106" s="290">
        <v>123104900</v>
      </c>
      <c r="D106" s="34">
        <v>8832.4</v>
      </c>
    </row>
    <row r="107" spans="1:4">
      <c r="A107" s="288" t="s">
        <v>1312</v>
      </c>
      <c r="B107" s="289" t="s">
        <v>1311</v>
      </c>
      <c r="C107" s="290">
        <v>123100808</v>
      </c>
      <c r="D107" s="34">
        <v>276774.3</v>
      </c>
    </row>
    <row r="108" spans="1:4">
      <c r="A108" s="288" t="s">
        <v>1313</v>
      </c>
      <c r="B108" s="289" t="s">
        <v>1311</v>
      </c>
      <c r="C108" s="290">
        <v>123100808</v>
      </c>
      <c r="D108" s="34">
        <v>0</v>
      </c>
    </row>
    <row r="109" spans="1:4">
      <c r="A109" s="296" t="s">
        <v>1314</v>
      </c>
      <c r="B109" s="289" t="s">
        <v>1311</v>
      </c>
      <c r="C109" s="290">
        <v>123106180</v>
      </c>
      <c r="D109" s="34">
        <v>1108983.48</v>
      </c>
    </row>
    <row r="110" spans="1:4">
      <c r="A110" s="296" t="s">
        <v>1315</v>
      </c>
      <c r="B110" s="289" t="s">
        <v>1311</v>
      </c>
      <c r="C110" s="290">
        <v>123106180</v>
      </c>
      <c r="D110" s="34">
        <v>38300000</v>
      </c>
    </row>
    <row r="111" spans="1:4">
      <c r="A111" s="296" t="s">
        <v>1316</v>
      </c>
      <c r="B111" s="289" t="s">
        <v>1311</v>
      </c>
      <c r="C111" s="290">
        <v>123106199</v>
      </c>
      <c r="D111" s="34">
        <v>-1395384.8130000001</v>
      </c>
    </row>
    <row r="112" spans="1:4">
      <c r="A112" s="288" t="s">
        <v>1317</v>
      </c>
      <c r="B112" s="289" t="s">
        <v>1311</v>
      </c>
      <c r="C112" s="290">
        <v>123106199</v>
      </c>
      <c r="D112" s="34">
        <v>5313154.22</v>
      </c>
    </row>
    <row r="113" spans="1:4">
      <c r="A113" s="125"/>
      <c r="B113" s="63"/>
      <c r="C113" s="130"/>
      <c r="D113" s="34"/>
    </row>
    <row r="114" spans="1:4">
      <c r="A114" s="125"/>
      <c r="B114" s="63"/>
      <c r="C114" s="130"/>
      <c r="D114" s="34"/>
    </row>
    <row r="115" spans="1:4">
      <c r="A115" s="125"/>
      <c r="B115" s="63"/>
      <c r="C115" s="130"/>
      <c r="D115" s="34"/>
    </row>
    <row r="116" spans="1:4">
      <c r="A116" s="125"/>
      <c r="B116" s="63"/>
      <c r="C116" s="130"/>
      <c r="D116" s="34"/>
    </row>
    <row r="117" spans="1:4" ht="13.5" thickBot="1">
      <c r="A117" s="128"/>
      <c r="B117" s="63"/>
      <c r="C117" s="126"/>
      <c r="D117" s="167"/>
    </row>
    <row r="118" spans="1:4" ht="13.5" thickBot="1">
      <c r="A118" s="103"/>
      <c r="B118" s="350" t="s">
        <v>1136</v>
      </c>
      <c r="C118" s="351"/>
      <c r="D118" s="35">
        <f>SUM(D9:D117)</f>
        <v>73605630.547000021</v>
      </c>
    </row>
    <row r="119" spans="1:4">
      <c r="A119" s="103"/>
      <c r="B119" s="57"/>
      <c r="C119" s="57"/>
      <c r="D119" s="239"/>
    </row>
    <row r="120" spans="1:4" ht="13.5" thickBot="1">
      <c r="A120" s="113"/>
      <c r="B120" s="212"/>
      <c r="C120" s="212"/>
      <c r="D120" s="240"/>
    </row>
  </sheetData>
  <mergeCells count="8">
    <mergeCell ref="A1:D1"/>
    <mergeCell ref="A5:A6"/>
    <mergeCell ref="B5:B6"/>
    <mergeCell ref="B118:C118"/>
    <mergeCell ref="A2:D2"/>
    <mergeCell ref="A3:D3"/>
    <mergeCell ref="C5:C6"/>
    <mergeCell ref="D5:D6"/>
  </mergeCells>
  <phoneticPr fontId="7" type="noConversion"/>
  <printOptions horizontalCentered="1"/>
  <pageMargins left="0.23622047244094491" right="0.74803149606299213" top="0.19685039370078741" bottom="0.15748031496062992" header="0" footer="0"/>
  <pageSetup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B1:G47"/>
  <sheetViews>
    <sheetView topLeftCell="A13" workbookViewId="0">
      <selection activeCell="B8" sqref="B8:G47"/>
    </sheetView>
  </sheetViews>
  <sheetFormatPr baseColWidth="10" defaultRowHeight="12.75"/>
  <cols>
    <col min="1" max="1" width="2.7109375" customWidth="1"/>
    <col min="2" max="2" width="14.85546875" customWidth="1"/>
    <col min="3" max="3" width="38" customWidth="1"/>
    <col min="4" max="4" width="13" customWidth="1"/>
    <col min="5" max="5" width="29.5703125" customWidth="1"/>
    <col min="6" max="6" width="13.7109375" customWidth="1"/>
    <col min="7" max="7" width="34.7109375" customWidth="1"/>
  </cols>
  <sheetData>
    <row r="1" spans="2:7" ht="15.75">
      <c r="B1" s="336" t="s">
        <v>366</v>
      </c>
      <c r="C1" s="336"/>
      <c r="D1" s="336"/>
      <c r="E1" s="336"/>
      <c r="F1" s="336"/>
      <c r="G1" s="336"/>
    </row>
    <row r="2" spans="2:7" ht="15.75">
      <c r="B2" s="336" t="s">
        <v>246</v>
      </c>
      <c r="C2" s="336"/>
      <c r="D2" s="336"/>
      <c r="E2" s="336"/>
      <c r="F2" s="336"/>
      <c r="G2" s="336"/>
    </row>
    <row r="3" spans="2:7" ht="15.75">
      <c r="B3" s="336" t="s">
        <v>1135</v>
      </c>
      <c r="C3" s="336"/>
      <c r="D3" s="336"/>
      <c r="E3" s="336"/>
      <c r="F3" s="336"/>
      <c r="G3" s="336"/>
    </row>
    <row r="4" spans="2:7" ht="13.5" thickBot="1"/>
    <row r="5" spans="2:7">
      <c r="B5" s="132" t="s">
        <v>142</v>
      </c>
      <c r="C5" s="354" t="s">
        <v>141</v>
      </c>
      <c r="D5" s="134"/>
      <c r="E5" s="356" t="s">
        <v>0</v>
      </c>
      <c r="F5" s="348" t="s">
        <v>140</v>
      </c>
      <c r="G5" s="348" t="s">
        <v>238</v>
      </c>
    </row>
    <row r="6" spans="2:7" ht="13.5" thickBot="1">
      <c r="B6" s="133" t="s">
        <v>213</v>
      </c>
      <c r="C6" s="355"/>
      <c r="D6" s="135"/>
      <c r="E6" s="357"/>
      <c r="F6" s="349"/>
      <c r="G6" s="349"/>
    </row>
    <row r="7" spans="2:7" ht="13.5" thickBot="1">
      <c r="C7" s="13"/>
      <c r="D7" s="15"/>
    </row>
    <row r="8" spans="2:7">
      <c r="B8" s="43"/>
      <c r="C8" s="302" t="s">
        <v>400</v>
      </c>
      <c r="D8" s="303"/>
      <c r="E8" s="312"/>
      <c r="F8" s="311">
        <v>1553224.15</v>
      </c>
      <c r="G8" s="317"/>
    </row>
    <row r="9" spans="2:7">
      <c r="B9" s="41"/>
      <c r="C9" s="304" t="s">
        <v>401</v>
      </c>
      <c r="D9" s="305"/>
      <c r="E9" s="313"/>
      <c r="F9" s="259">
        <f>SUM(E10:E20)</f>
        <v>932233.01</v>
      </c>
      <c r="G9" s="104"/>
    </row>
    <row r="10" spans="2:7">
      <c r="B10" s="41"/>
      <c r="C10" s="103" t="s">
        <v>402</v>
      </c>
      <c r="D10" s="306"/>
      <c r="E10" s="313">
        <v>377853</v>
      </c>
      <c r="F10" s="259"/>
      <c r="G10" s="104"/>
    </row>
    <row r="11" spans="2:7">
      <c r="B11" s="41"/>
      <c r="C11" s="304" t="s">
        <v>403</v>
      </c>
      <c r="D11" s="259"/>
      <c r="E11" s="313">
        <v>71500</v>
      </c>
      <c r="F11" s="259"/>
      <c r="G11" s="104"/>
    </row>
    <row r="12" spans="2:7">
      <c r="B12" s="41"/>
      <c r="C12" s="304" t="s">
        <v>404</v>
      </c>
      <c r="D12" s="259"/>
      <c r="E12" s="313">
        <v>216500</v>
      </c>
      <c r="F12" s="259"/>
      <c r="G12" s="104"/>
    </row>
    <row r="13" spans="2:7">
      <c r="B13" s="41"/>
      <c r="C13" s="304" t="s">
        <v>615</v>
      </c>
      <c r="D13" s="259"/>
      <c r="E13" s="313">
        <v>98600</v>
      </c>
      <c r="F13" s="259"/>
      <c r="G13" s="104"/>
    </row>
    <row r="14" spans="2:7">
      <c r="B14" s="41"/>
      <c r="C14" s="304" t="s">
        <v>441</v>
      </c>
      <c r="D14" s="259"/>
      <c r="E14" s="313">
        <v>146978</v>
      </c>
      <c r="F14" s="259"/>
      <c r="G14" s="104"/>
    </row>
    <row r="15" spans="2:7">
      <c r="B15" s="41"/>
      <c r="C15" s="304" t="s">
        <v>409</v>
      </c>
      <c r="D15" s="307"/>
      <c r="E15" s="313">
        <v>94</v>
      </c>
      <c r="F15" s="259"/>
      <c r="G15" s="104"/>
    </row>
    <row r="16" spans="2:7">
      <c r="B16" s="41"/>
      <c r="C16" s="304" t="s">
        <v>410</v>
      </c>
      <c r="D16" s="307"/>
      <c r="E16" s="313">
        <v>483</v>
      </c>
      <c r="F16" s="259"/>
      <c r="G16" s="104"/>
    </row>
    <row r="17" spans="2:7">
      <c r="B17" s="41"/>
      <c r="C17" s="304" t="s">
        <v>1332</v>
      </c>
      <c r="D17" s="307"/>
      <c r="E17" s="313">
        <v>9195.1299999999992</v>
      </c>
      <c r="F17" s="259"/>
      <c r="G17" s="104"/>
    </row>
    <row r="18" spans="2:7">
      <c r="B18" s="41"/>
      <c r="C18" s="304" t="s">
        <v>1333</v>
      </c>
      <c r="D18" s="307"/>
      <c r="E18" s="313">
        <v>7757.7</v>
      </c>
      <c r="F18" s="259"/>
      <c r="G18" s="104"/>
    </row>
    <row r="19" spans="2:7">
      <c r="B19" s="41"/>
      <c r="C19" s="304" t="s">
        <v>1334</v>
      </c>
      <c r="D19" s="307"/>
      <c r="E19" s="313">
        <v>3272.18</v>
      </c>
      <c r="F19" s="259"/>
      <c r="G19" s="104"/>
    </row>
    <row r="20" spans="2:7">
      <c r="B20" s="41"/>
      <c r="C20" s="304" t="s">
        <v>442</v>
      </c>
      <c r="D20" s="307"/>
      <c r="E20" s="313">
        <v>0</v>
      </c>
      <c r="F20" s="259"/>
      <c r="G20" s="104"/>
    </row>
    <row r="21" spans="2:7">
      <c r="B21" s="41"/>
      <c r="C21" s="304" t="s">
        <v>405</v>
      </c>
      <c r="D21" s="307"/>
      <c r="E21" s="313"/>
      <c r="F21" s="259">
        <v>0</v>
      </c>
      <c r="G21" s="104"/>
    </row>
    <row r="22" spans="2:7">
      <c r="B22" s="41"/>
      <c r="C22" s="304" t="s">
        <v>406</v>
      </c>
      <c r="D22" s="305"/>
      <c r="E22" s="313"/>
      <c r="F22" s="259">
        <v>351119.92</v>
      </c>
      <c r="G22" s="104"/>
    </row>
    <row r="23" spans="2:7">
      <c r="B23" s="41"/>
      <c r="C23" s="304" t="s">
        <v>616</v>
      </c>
      <c r="D23" s="305"/>
      <c r="E23" s="313"/>
      <c r="F23" s="259">
        <v>7004669.1500000004</v>
      </c>
      <c r="G23" s="104"/>
    </row>
    <row r="24" spans="2:7">
      <c r="B24" s="41"/>
      <c r="C24" s="304" t="s">
        <v>407</v>
      </c>
      <c r="D24" s="305"/>
      <c r="E24" s="313"/>
      <c r="F24" s="259">
        <v>713146.46</v>
      </c>
      <c r="G24" s="306"/>
    </row>
    <row r="25" spans="2:7">
      <c r="B25" s="41"/>
      <c r="C25" s="304" t="s">
        <v>561</v>
      </c>
      <c r="D25" s="305"/>
      <c r="E25" s="313"/>
      <c r="F25" s="259">
        <v>251802</v>
      </c>
      <c r="G25" s="306"/>
    </row>
    <row r="26" spans="2:7">
      <c r="B26" s="41"/>
      <c r="C26" s="308" t="s">
        <v>618</v>
      </c>
      <c r="D26" s="104"/>
      <c r="E26" s="313"/>
      <c r="F26" s="259">
        <v>366679</v>
      </c>
      <c r="G26" s="104"/>
    </row>
    <row r="27" spans="2:7">
      <c r="B27" s="41"/>
      <c r="C27" s="103" t="s">
        <v>408</v>
      </c>
      <c r="D27" s="305"/>
      <c r="E27" s="313"/>
      <c r="F27" s="259">
        <v>582916.80000000005</v>
      </c>
      <c r="G27" s="104"/>
    </row>
    <row r="28" spans="2:7">
      <c r="B28" s="41"/>
      <c r="C28" s="304" t="s">
        <v>445</v>
      </c>
      <c r="D28" s="104"/>
      <c r="E28" s="313"/>
      <c r="F28" s="259">
        <v>17025.41</v>
      </c>
      <c r="G28" s="104"/>
    </row>
    <row r="29" spans="2:7">
      <c r="B29" s="41"/>
      <c r="C29" s="304"/>
      <c r="D29" s="305"/>
      <c r="E29" s="41"/>
      <c r="F29" s="305"/>
      <c r="G29" s="104"/>
    </row>
    <row r="30" spans="2:7">
      <c r="B30" s="41"/>
      <c r="C30" s="304"/>
      <c r="D30" s="305"/>
      <c r="E30" s="41"/>
      <c r="F30" s="305"/>
      <c r="G30" s="104"/>
    </row>
    <row r="31" spans="2:7">
      <c r="B31" s="41"/>
      <c r="C31" s="304"/>
      <c r="D31" s="305"/>
      <c r="E31" s="41"/>
      <c r="F31" s="305"/>
      <c r="G31" s="104"/>
    </row>
    <row r="32" spans="2:7">
      <c r="B32" s="41"/>
      <c r="C32" s="304"/>
      <c r="D32" s="305"/>
      <c r="E32" s="41"/>
      <c r="F32" s="305"/>
      <c r="G32" s="104"/>
    </row>
    <row r="33" spans="2:7">
      <c r="B33" s="41"/>
      <c r="C33" s="304"/>
      <c r="D33" s="305"/>
      <c r="E33" s="41"/>
      <c r="F33" s="305"/>
      <c r="G33" s="104"/>
    </row>
    <row r="34" spans="2:7">
      <c r="B34" s="41"/>
      <c r="C34" s="304"/>
      <c r="D34" s="305"/>
      <c r="E34" s="41"/>
      <c r="F34" s="305"/>
      <c r="G34" s="104"/>
    </row>
    <row r="35" spans="2:7">
      <c r="B35" s="41"/>
      <c r="C35" s="304"/>
      <c r="D35" s="305"/>
      <c r="E35" s="41"/>
      <c r="F35" s="305"/>
      <c r="G35" s="104"/>
    </row>
    <row r="36" spans="2:7" ht="13.5" thickBot="1">
      <c r="B36" s="42"/>
      <c r="C36" s="309"/>
      <c r="D36" s="310"/>
      <c r="E36" s="42"/>
      <c r="F36" s="310"/>
      <c r="G36" s="104"/>
    </row>
    <row r="37" spans="2:7" ht="13.5" thickBot="1">
      <c r="B37" s="103"/>
      <c r="C37" s="14"/>
      <c r="D37" s="14"/>
      <c r="E37" s="49" t="s">
        <v>137</v>
      </c>
      <c r="F37" s="35">
        <f>SUM(F8:F28)</f>
        <v>11772815.900000002</v>
      </c>
      <c r="G37" s="104"/>
    </row>
    <row r="38" spans="2:7">
      <c r="B38" s="103"/>
      <c r="C38" s="14"/>
      <c r="D38" s="14"/>
      <c r="E38" s="14"/>
      <c r="F38" s="14"/>
      <c r="G38" s="104"/>
    </row>
    <row r="39" spans="2:7">
      <c r="B39" s="103"/>
      <c r="C39" s="14"/>
      <c r="D39" s="14"/>
      <c r="E39" s="14"/>
      <c r="F39" s="14"/>
      <c r="G39" s="104"/>
    </row>
    <row r="40" spans="2:7">
      <c r="B40" s="103"/>
      <c r="C40" s="14"/>
      <c r="D40" s="14"/>
      <c r="E40" s="14"/>
      <c r="F40" s="14"/>
      <c r="G40" s="104"/>
    </row>
    <row r="41" spans="2:7">
      <c r="B41" s="103"/>
      <c r="C41" s="14"/>
      <c r="D41" s="14"/>
      <c r="E41" s="14"/>
      <c r="F41" s="14"/>
      <c r="G41" s="104"/>
    </row>
    <row r="42" spans="2:7">
      <c r="B42" s="103"/>
      <c r="C42" s="14"/>
      <c r="D42" s="14"/>
      <c r="E42" s="14"/>
      <c r="F42" s="14"/>
      <c r="G42" s="104"/>
    </row>
    <row r="43" spans="2:7">
      <c r="B43" s="103"/>
      <c r="C43" s="14"/>
      <c r="D43" s="14"/>
      <c r="E43" s="14"/>
      <c r="F43" s="14"/>
      <c r="G43" s="104"/>
    </row>
    <row r="44" spans="2:7">
      <c r="B44" s="103"/>
      <c r="C44" s="14"/>
      <c r="D44" s="14"/>
      <c r="E44" s="14"/>
      <c r="F44" s="14"/>
      <c r="G44" s="104"/>
    </row>
    <row r="45" spans="2:7">
      <c r="B45" s="103"/>
      <c r="C45" s="14"/>
      <c r="D45" s="14"/>
      <c r="E45" s="14"/>
      <c r="F45" s="14"/>
      <c r="G45" s="104"/>
    </row>
    <row r="46" spans="2:7">
      <c r="B46" s="103"/>
      <c r="C46" s="14"/>
      <c r="D46" s="14"/>
      <c r="E46" s="14"/>
      <c r="F46" s="14"/>
      <c r="G46" s="104"/>
    </row>
    <row r="47" spans="2:7" ht="13.5" thickBot="1">
      <c r="B47" s="113"/>
      <c r="C47" s="114"/>
      <c r="D47" s="114"/>
      <c r="E47" s="114"/>
      <c r="F47" s="114"/>
      <c r="G47" s="115"/>
    </row>
  </sheetData>
  <mergeCells count="7">
    <mergeCell ref="B1:G1"/>
    <mergeCell ref="B2:G2"/>
    <mergeCell ref="B3:G3"/>
    <mergeCell ref="C5:C6"/>
    <mergeCell ref="E5:E6"/>
    <mergeCell ref="F5:F6"/>
    <mergeCell ref="G5:G6"/>
  </mergeCells>
  <phoneticPr fontId="7" type="noConversion"/>
  <printOptions horizontalCentered="1"/>
  <pageMargins left="0.16" right="0.21" top="0.54" bottom="0.21" header="0" footer="0"/>
  <pageSetup scale="90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B1:E43"/>
  <sheetViews>
    <sheetView tabSelected="1" workbookViewId="0">
      <selection activeCell="C51" sqref="C51"/>
    </sheetView>
  </sheetViews>
  <sheetFormatPr baseColWidth="10" defaultRowHeight="12.75"/>
  <cols>
    <col min="1" max="1" width="2.7109375" customWidth="1"/>
    <col min="2" max="2" width="40.140625" customWidth="1"/>
    <col min="3" max="3" width="40" customWidth="1"/>
    <col min="4" max="4" width="13.7109375" customWidth="1"/>
    <col min="5" max="5" width="31.5703125" customWidth="1"/>
  </cols>
  <sheetData>
    <row r="1" spans="2:5" ht="15.75">
      <c r="B1" s="336" t="s">
        <v>366</v>
      </c>
      <c r="C1" s="336"/>
      <c r="D1" s="336"/>
      <c r="E1" s="336"/>
    </row>
    <row r="2" spans="2:5" ht="15.75">
      <c r="B2" s="84" t="s">
        <v>247</v>
      </c>
      <c r="C2" s="36"/>
      <c r="D2" s="36"/>
      <c r="E2" s="36"/>
    </row>
    <row r="3" spans="2:5" ht="15.75">
      <c r="B3" s="84" t="s">
        <v>1135</v>
      </c>
      <c r="C3" s="36"/>
      <c r="D3" s="36"/>
      <c r="E3" s="36"/>
    </row>
    <row r="4" spans="2:5" ht="13.5" thickBot="1">
      <c r="B4" s="14"/>
    </row>
    <row r="5" spans="2:5">
      <c r="B5" s="348" t="s">
        <v>143</v>
      </c>
      <c r="C5" s="348" t="s">
        <v>0</v>
      </c>
      <c r="D5" s="348" t="s">
        <v>140</v>
      </c>
      <c r="E5" s="348" t="s">
        <v>238</v>
      </c>
    </row>
    <row r="6" spans="2:5" ht="13.5" thickBot="1">
      <c r="B6" s="349"/>
      <c r="C6" s="349"/>
      <c r="D6" s="349"/>
      <c r="E6" s="349"/>
    </row>
    <row r="7" spans="2:5" ht="13.5" thickBot="1">
      <c r="B7" s="14"/>
    </row>
    <row r="8" spans="2:5">
      <c r="B8" s="327" t="s">
        <v>369</v>
      </c>
      <c r="C8" s="328"/>
      <c r="D8" s="332">
        <v>0</v>
      </c>
      <c r="E8" s="317"/>
    </row>
    <row r="9" spans="2:5">
      <c r="B9" s="125" t="s">
        <v>370</v>
      </c>
      <c r="C9" s="32"/>
      <c r="D9" s="129">
        <v>0</v>
      </c>
      <c r="E9" s="104"/>
    </row>
    <row r="10" spans="2:5">
      <c r="B10" s="125" t="s">
        <v>371</v>
      </c>
      <c r="C10" s="32"/>
      <c r="D10" s="129">
        <v>0</v>
      </c>
      <c r="E10" s="104"/>
    </row>
    <row r="11" spans="2:5">
      <c r="B11" s="125" t="s">
        <v>372</v>
      </c>
      <c r="C11" s="32"/>
      <c r="D11" s="129">
        <v>0</v>
      </c>
      <c r="E11" s="104"/>
    </row>
    <row r="12" spans="2:5">
      <c r="B12" s="125" t="s">
        <v>373</v>
      </c>
      <c r="C12" s="32"/>
      <c r="D12" s="129">
        <v>0</v>
      </c>
      <c r="E12" s="104"/>
    </row>
    <row r="13" spans="2:5">
      <c r="B13" s="125" t="s">
        <v>374</v>
      </c>
      <c r="C13" s="32"/>
      <c r="D13" s="129">
        <v>0</v>
      </c>
      <c r="E13" s="104"/>
    </row>
    <row r="14" spans="2:5">
      <c r="B14" s="125" t="s">
        <v>1330</v>
      </c>
      <c r="C14" s="32"/>
      <c r="D14" s="129">
        <v>502392</v>
      </c>
      <c r="E14" s="104"/>
    </row>
    <row r="15" spans="2:5">
      <c r="B15" s="125" t="s">
        <v>375</v>
      </c>
      <c r="C15" s="32"/>
      <c r="D15" s="129">
        <v>7417746.1100000003</v>
      </c>
      <c r="E15" s="104"/>
    </row>
    <row r="16" spans="2:5">
      <c r="B16" s="125" t="s">
        <v>564</v>
      </c>
      <c r="C16" s="32"/>
      <c r="D16" s="129">
        <v>11394381</v>
      </c>
      <c r="E16" s="104"/>
    </row>
    <row r="17" spans="2:5">
      <c r="B17" s="125" t="s">
        <v>386</v>
      </c>
      <c r="C17" s="32"/>
      <c r="D17" s="129">
        <v>-520.79</v>
      </c>
      <c r="E17" s="104"/>
    </row>
    <row r="18" spans="2:5">
      <c r="B18" s="125" t="s">
        <v>376</v>
      </c>
      <c r="C18" s="32"/>
      <c r="D18" s="129">
        <v>16620.22</v>
      </c>
      <c r="E18" s="104"/>
    </row>
    <row r="19" spans="2:5">
      <c r="B19" s="125" t="s">
        <v>1331</v>
      </c>
      <c r="C19" s="32"/>
      <c r="D19" s="129">
        <v>462850.99</v>
      </c>
      <c r="E19" s="104"/>
    </row>
    <row r="20" spans="2:5">
      <c r="B20" s="125" t="s">
        <v>1335</v>
      </c>
      <c r="C20" s="32"/>
      <c r="D20" s="129">
        <v>62994.43</v>
      </c>
      <c r="E20" s="104"/>
    </row>
    <row r="21" spans="2:5">
      <c r="B21" s="125" t="s">
        <v>377</v>
      </c>
      <c r="C21" s="32"/>
      <c r="D21" s="129">
        <v>0</v>
      </c>
      <c r="E21" s="104"/>
    </row>
    <row r="22" spans="2:5">
      <c r="B22" s="125" t="s">
        <v>378</v>
      </c>
      <c r="C22" s="32"/>
      <c r="D22" s="129">
        <v>0</v>
      </c>
      <c r="E22" s="104"/>
    </row>
    <row r="23" spans="2:5">
      <c r="B23" s="125" t="s">
        <v>411</v>
      </c>
      <c r="C23" s="32"/>
      <c r="D23" s="129">
        <v>0</v>
      </c>
      <c r="E23" s="104"/>
    </row>
    <row r="24" spans="2:5">
      <c r="B24" s="125" t="s">
        <v>379</v>
      </c>
      <c r="C24" s="32"/>
      <c r="D24" s="129">
        <v>406251.6</v>
      </c>
      <c r="E24" s="104"/>
    </row>
    <row r="25" spans="2:5">
      <c r="B25" s="333" t="s">
        <v>443</v>
      </c>
      <c r="C25" s="32"/>
      <c r="D25" s="129">
        <v>0</v>
      </c>
      <c r="E25" s="104"/>
    </row>
    <row r="26" spans="2:5">
      <c r="B26" s="333" t="s">
        <v>563</v>
      </c>
      <c r="C26" s="32"/>
      <c r="D26" s="129">
        <v>0</v>
      </c>
      <c r="E26" s="104"/>
    </row>
    <row r="27" spans="2:5">
      <c r="B27" s="333" t="s">
        <v>562</v>
      </c>
      <c r="C27" s="32"/>
      <c r="D27" s="129">
        <v>0</v>
      </c>
      <c r="E27" s="104"/>
    </row>
    <row r="28" spans="2:5">
      <c r="B28" s="125" t="s">
        <v>444</v>
      </c>
      <c r="C28" s="32"/>
      <c r="D28" s="129">
        <v>0</v>
      </c>
      <c r="E28" s="104"/>
    </row>
    <row r="29" spans="2:5">
      <c r="B29" s="128" t="s">
        <v>617</v>
      </c>
      <c r="C29" s="32"/>
      <c r="D29" s="129">
        <v>0</v>
      </c>
      <c r="E29" s="104"/>
    </row>
    <row r="30" spans="2:5">
      <c r="B30" s="125"/>
      <c r="C30" s="32"/>
      <c r="D30" s="32"/>
      <c r="E30" s="104"/>
    </row>
    <row r="31" spans="2:5" ht="13.5" thickBot="1">
      <c r="B31" s="125"/>
      <c r="C31" s="32"/>
      <c r="D31" s="5"/>
      <c r="E31" s="104"/>
    </row>
    <row r="32" spans="2:5" ht="13.5" thickBot="1">
      <c r="B32" s="103"/>
      <c r="C32" s="49" t="s">
        <v>137</v>
      </c>
      <c r="D32" s="35">
        <f>SUM(D8:D31)</f>
        <v>20262715.559999999</v>
      </c>
      <c r="E32" s="104"/>
    </row>
    <row r="33" spans="2:5">
      <c r="B33" s="103"/>
      <c r="C33" s="14"/>
      <c r="D33" s="14"/>
      <c r="E33" s="104"/>
    </row>
    <row r="34" spans="2:5">
      <c r="B34" s="103"/>
      <c r="C34" s="14"/>
      <c r="D34" s="14"/>
      <c r="E34" s="104"/>
    </row>
    <row r="35" spans="2:5">
      <c r="B35" s="103"/>
      <c r="C35" s="14"/>
      <c r="D35" s="14"/>
      <c r="E35" s="104"/>
    </row>
    <row r="36" spans="2:5">
      <c r="B36" s="103"/>
      <c r="C36" s="14"/>
      <c r="D36" s="14"/>
      <c r="E36" s="104"/>
    </row>
    <row r="37" spans="2:5">
      <c r="B37" s="103"/>
      <c r="C37" s="14"/>
      <c r="D37" s="14"/>
      <c r="E37" s="104"/>
    </row>
    <row r="38" spans="2:5">
      <c r="B38" s="103"/>
      <c r="C38" s="14"/>
      <c r="D38" s="14"/>
      <c r="E38" s="104"/>
    </row>
    <row r="39" spans="2:5">
      <c r="B39" s="103"/>
      <c r="C39" s="14"/>
      <c r="D39" s="14"/>
      <c r="E39" s="104"/>
    </row>
    <row r="40" spans="2:5">
      <c r="B40" s="103"/>
      <c r="C40" s="14"/>
      <c r="D40" s="14"/>
      <c r="E40" s="104"/>
    </row>
    <row r="41" spans="2:5">
      <c r="B41" s="103"/>
      <c r="C41" s="14"/>
      <c r="D41" s="14"/>
      <c r="E41" s="104"/>
    </row>
    <row r="42" spans="2:5">
      <c r="B42" s="103"/>
      <c r="C42" s="14"/>
      <c r="D42" s="14"/>
      <c r="E42" s="104"/>
    </row>
    <row r="43" spans="2:5" ht="13.5" thickBot="1">
      <c r="B43" s="113"/>
      <c r="C43" s="114"/>
      <c r="D43" s="114"/>
      <c r="E43" s="115"/>
    </row>
  </sheetData>
  <mergeCells count="5">
    <mergeCell ref="B1:E1"/>
    <mergeCell ref="B5:B6"/>
    <mergeCell ref="C5:C6"/>
    <mergeCell ref="D5:D6"/>
    <mergeCell ref="E5:E6"/>
  </mergeCells>
  <phoneticPr fontId="7" type="noConversion"/>
  <printOptions horizontalCentered="1"/>
  <pageMargins left="0.16" right="0.22" top="0.52" bottom="0.33" header="0" footer="0"/>
  <pageSetup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A3" sqref="A3:C3"/>
    </sheetView>
  </sheetViews>
  <sheetFormatPr baseColWidth="10" defaultRowHeight="12.75"/>
  <cols>
    <col min="1" max="1" width="65.42578125" customWidth="1"/>
    <col min="2" max="2" width="17.5703125" customWidth="1"/>
    <col min="3" max="3" width="45" customWidth="1"/>
  </cols>
  <sheetData>
    <row r="1" spans="1:3" ht="15.75">
      <c r="A1" s="336" t="s">
        <v>366</v>
      </c>
      <c r="B1" s="336"/>
      <c r="C1" s="336"/>
    </row>
    <row r="2" spans="1:3" ht="15.75">
      <c r="A2" s="336" t="s">
        <v>211</v>
      </c>
      <c r="B2" s="336"/>
      <c r="C2" s="336"/>
    </row>
    <row r="3" spans="1:3" ht="15.75">
      <c r="A3" s="336" t="s">
        <v>1135</v>
      </c>
      <c r="B3" s="336"/>
      <c r="C3" s="336"/>
    </row>
    <row r="4" spans="1:3" ht="13.5" thickBot="1"/>
    <row r="5" spans="1:3">
      <c r="A5" s="348" t="s">
        <v>0</v>
      </c>
      <c r="B5" s="348" t="s">
        <v>140</v>
      </c>
      <c r="C5" s="348" t="s">
        <v>238</v>
      </c>
    </row>
    <row r="6" spans="1:3" ht="13.5" thickBot="1">
      <c r="A6" s="349"/>
      <c r="B6" s="349"/>
      <c r="C6" s="349"/>
    </row>
    <row r="8" spans="1:3">
      <c r="A8" s="32" t="s">
        <v>380</v>
      </c>
      <c r="B8" s="129">
        <v>50431600</v>
      </c>
      <c r="C8" s="46"/>
    </row>
    <row r="9" spans="1:3">
      <c r="A9" s="32" t="s">
        <v>381</v>
      </c>
      <c r="B9" s="129">
        <v>135178403</v>
      </c>
      <c r="C9" s="15"/>
    </row>
    <row r="10" spans="1:3">
      <c r="A10" s="32" t="s">
        <v>382</v>
      </c>
      <c r="B10" s="129">
        <v>101295600</v>
      </c>
      <c r="C10" s="15"/>
    </row>
    <row r="11" spans="1:3">
      <c r="A11" s="32" t="s">
        <v>25</v>
      </c>
      <c r="B11" s="129">
        <v>9949157.4600000009</v>
      </c>
      <c r="C11" s="15"/>
    </row>
    <row r="12" spans="1:3">
      <c r="A12" s="32" t="s">
        <v>394</v>
      </c>
      <c r="B12" s="129">
        <v>7221112</v>
      </c>
      <c r="C12" s="15"/>
    </row>
    <row r="13" spans="1:3">
      <c r="A13" s="32"/>
      <c r="B13" s="129"/>
      <c r="C13" s="15"/>
    </row>
    <row r="14" spans="1:3">
      <c r="A14" s="32"/>
      <c r="B14" s="32"/>
      <c r="C14" s="15"/>
    </row>
    <row r="15" spans="1:3">
      <c r="A15" s="32"/>
      <c r="B15" s="32"/>
      <c r="C15" s="15"/>
    </row>
    <row r="16" spans="1:3">
      <c r="A16" s="32"/>
      <c r="B16" s="32"/>
      <c r="C16" s="15"/>
    </row>
    <row r="17" spans="1:3">
      <c r="A17" s="32"/>
      <c r="B17" s="32"/>
      <c r="C17" s="15"/>
    </row>
    <row r="18" spans="1:3">
      <c r="A18" s="169"/>
      <c r="B18" s="32"/>
      <c r="C18" s="15"/>
    </row>
    <row r="19" spans="1:3">
      <c r="A19" s="32"/>
      <c r="B19" s="32"/>
      <c r="C19" s="15"/>
    </row>
    <row r="20" spans="1:3">
      <c r="A20" s="32"/>
      <c r="B20" s="32"/>
      <c r="C20" s="15"/>
    </row>
    <row r="21" spans="1:3">
      <c r="A21" s="32"/>
      <c r="B21" s="32"/>
      <c r="C21" s="15"/>
    </row>
    <row r="22" spans="1:3">
      <c r="A22" s="32"/>
      <c r="B22" s="32"/>
      <c r="C22" s="15"/>
    </row>
    <row r="23" spans="1:3">
      <c r="A23" s="32"/>
      <c r="B23" s="32"/>
      <c r="C23" s="15"/>
    </row>
    <row r="24" spans="1:3">
      <c r="A24" s="32"/>
      <c r="B24" s="32"/>
      <c r="C24" s="15"/>
    </row>
    <row r="25" spans="1:3">
      <c r="A25" s="32"/>
      <c r="B25" s="32"/>
      <c r="C25" s="15"/>
    </row>
    <row r="26" spans="1:3" ht="13.5" thickBot="1">
      <c r="A26" s="33"/>
      <c r="B26" s="33"/>
      <c r="C26" s="15"/>
    </row>
    <row r="27" spans="1:3">
      <c r="A27" s="13"/>
      <c r="B27" s="14"/>
      <c r="C27" s="15"/>
    </row>
    <row r="28" spans="1:3">
      <c r="A28" s="13"/>
      <c r="B28" s="14"/>
      <c r="C28" s="15"/>
    </row>
    <row r="29" spans="1:3">
      <c r="A29" s="13"/>
      <c r="B29" s="14"/>
      <c r="C29" s="15"/>
    </row>
    <row r="30" spans="1:3">
      <c r="A30" s="13"/>
      <c r="B30" s="14"/>
      <c r="C30" s="15"/>
    </row>
    <row r="31" spans="1:3">
      <c r="A31" s="13"/>
      <c r="B31" s="14"/>
      <c r="C31" s="15"/>
    </row>
    <row r="32" spans="1:3">
      <c r="A32" s="13"/>
      <c r="B32" s="14"/>
      <c r="C32" s="15"/>
    </row>
    <row r="33" spans="1:3">
      <c r="A33" s="13"/>
      <c r="B33" s="14"/>
      <c r="C33" s="15"/>
    </row>
    <row r="34" spans="1:3">
      <c r="A34" s="13"/>
      <c r="B34" s="14"/>
      <c r="C34" s="15"/>
    </row>
    <row r="35" spans="1:3">
      <c r="A35" s="13"/>
      <c r="B35" s="14"/>
      <c r="C35" s="15"/>
    </row>
    <row r="36" spans="1:3">
      <c r="A36" s="13"/>
      <c r="B36" s="14"/>
      <c r="C36" s="15"/>
    </row>
    <row r="37" spans="1:3">
      <c r="A37" s="13"/>
      <c r="B37" s="14"/>
      <c r="C37" s="15"/>
    </row>
    <row r="38" spans="1:3">
      <c r="A38" s="13"/>
      <c r="B38" s="14"/>
      <c r="C38" s="15"/>
    </row>
    <row r="39" spans="1:3">
      <c r="A39" s="16"/>
      <c r="B39" s="17"/>
      <c r="C39" s="18"/>
    </row>
  </sheetData>
  <mergeCells count="6">
    <mergeCell ref="A1:C1"/>
    <mergeCell ref="A2:C2"/>
    <mergeCell ref="A3:C3"/>
    <mergeCell ref="C5:C6"/>
    <mergeCell ref="A5:A6"/>
    <mergeCell ref="B5:B6"/>
  </mergeCells>
  <phoneticPr fontId="7" type="noConversion"/>
  <printOptions horizontalCentered="1"/>
  <pageMargins left="0.41" right="0.22" top="0.33" bottom="1" header="0" footer="0"/>
  <pageSetup orientation="landscape" horizontalDpi="4294967292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C10" sqref="C10"/>
    </sheetView>
  </sheetViews>
  <sheetFormatPr baseColWidth="10" defaultRowHeight="12.75"/>
  <cols>
    <col min="1" max="1" width="46.7109375" customWidth="1"/>
    <col min="2" max="2" width="47.7109375" customWidth="1"/>
    <col min="3" max="3" width="15.85546875" bestFit="1" customWidth="1"/>
    <col min="4" max="4" width="20" customWidth="1"/>
  </cols>
  <sheetData>
    <row r="1" spans="1:4" ht="15.75">
      <c r="A1" s="336" t="s">
        <v>366</v>
      </c>
      <c r="B1" s="336"/>
      <c r="C1" s="336"/>
      <c r="D1" s="336"/>
    </row>
    <row r="2" spans="1:4" ht="15.75">
      <c r="A2" s="336" t="s">
        <v>351</v>
      </c>
      <c r="B2" s="336"/>
      <c r="C2" s="336"/>
      <c r="D2" s="336"/>
    </row>
    <row r="3" spans="1:4" ht="15.75">
      <c r="A3" s="336" t="s">
        <v>1135</v>
      </c>
      <c r="B3" s="336"/>
      <c r="C3" s="336"/>
      <c r="D3" s="336"/>
    </row>
    <row r="4" spans="1:4" ht="13.5" thickBot="1"/>
    <row r="5" spans="1:4">
      <c r="A5" s="348" t="s">
        <v>143</v>
      </c>
      <c r="B5" s="348" t="s">
        <v>0</v>
      </c>
      <c r="C5" s="348" t="s">
        <v>140</v>
      </c>
      <c r="D5" s="348" t="s">
        <v>238</v>
      </c>
    </row>
    <row r="6" spans="1:4" ht="13.5" thickBot="1">
      <c r="A6" s="349" t="s">
        <v>213</v>
      </c>
      <c r="B6" s="349"/>
      <c r="C6" s="349"/>
      <c r="D6" s="349"/>
    </row>
    <row r="8" spans="1:4">
      <c r="A8" s="213" t="s">
        <v>23</v>
      </c>
      <c r="B8" s="32"/>
      <c r="C8" s="141">
        <v>246867000</v>
      </c>
      <c r="D8" s="46"/>
    </row>
    <row r="9" spans="1:4">
      <c r="A9" s="286" t="s">
        <v>1175</v>
      </c>
      <c r="B9" s="32"/>
      <c r="C9" s="141">
        <v>25000000</v>
      </c>
      <c r="D9" s="15"/>
    </row>
    <row r="10" spans="1:4">
      <c r="A10" s="213"/>
      <c r="B10" s="32"/>
      <c r="C10" s="141"/>
      <c r="D10" s="15"/>
    </row>
    <row r="11" spans="1:4">
      <c r="A11" s="32"/>
      <c r="B11" s="32"/>
      <c r="C11" s="168"/>
      <c r="D11" s="187"/>
    </row>
    <row r="12" spans="1:4">
      <c r="A12" s="32"/>
      <c r="B12" s="32"/>
      <c r="C12" s="141"/>
      <c r="D12" s="187"/>
    </row>
    <row r="13" spans="1:4">
      <c r="A13" s="32"/>
      <c r="B13" s="32"/>
      <c r="C13" s="168"/>
      <c r="D13" s="15"/>
    </row>
    <row r="14" spans="1:4">
      <c r="A14" s="32"/>
      <c r="B14" s="32"/>
      <c r="C14" s="39"/>
      <c r="D14" s="15"/>
    </row>
    <row r="15" spans="1:4">
      <c r="A15" s="32"/>
      <c r="B15" s="32"/>
      <c r="C15" s="39"/>
      <c r="D15" s="15"/>
    </row>
    <row r="16" spans="1:4">
      <c r="A16" s="32"/>
      <c r="B16" s="32"/>
      <c r="C16" s="39"/>
      <c r="D16" s="15"/>
    </row>
    <row r="17" spans="1:4">
      <c r="A17" s="32"/>
      <c r="B17" s="32"/>
      <c r="C17" s="39"/>
      <c r="D17" s="15"/>
    </row>
    <row r="18" spans="1:4">
      <c r="A18" s="32"/>
      <c r="B18" s="32"/>
      <c r="C18" s="39"/>
      <c r="D18" s="15"/>
    </row>
    <row r="19" spans="1:4">
      <c r="A19" s="32"/>
      <c r="B19" s="32"/>
      <c r="C19" s="39"/>
      <c r="D19" s="15"/>
    </row>
    <row r="20" spans="1:4">
      <c r="A20" s="32"/>
      <c r="B20" s="32"/>
      <c r="C20" s="39"/>
      <c r="D20" s="15"/>
    </row>
    <row r="21" spans="1:4">
      <c r="A21" s="32"/>
      <c r="B21" s="32"/>
      <c r="C21" s="39"/>
      <c r="D21" s="15"/>
    </row>
    <row r="22" spans="1:4">
      <c r="A22" s="32"/>
      <c r="B22" s="32"/>
      <c r="C22" s="39"/>
      <c r="D22" s="15"/>
    </row>
    <row r="23" spans="1:4">
      <c r="A23" s="32"/>
      <c r="B23" s="32"/>
      <c r="C23" s="39"/>
      <c r="D23" s="15"/>
    </row>
    <row r="24" spans="1:4">
      <c r="A24" s="32"/>
      <c r="B24" s="32"/>
      <c r="C24" s="39"/>
      <c r="D24" s="15"/>
    </row>
    <row r="25" spans="1:4">
      <c r="A25" s="32"/>
      <c r="B25" s="32"/>
      <c r="C25" s="39"/>
      <c r="D25" s="15"/>
    </row>
    <row r="26" spans="1:4" ht="13.5" thickBot="1">
      <c r="A26" s="33"/>
      <c r="B26" s="33"/>
      <c r="C26" s="40"/>
      <c r="D26" s="15"/>
    </row>
    <row r="27" spans="1:4" ht="13.5" thickBot="1">
      <c r="A27" s="13"/>
      <c r="B27" s="14"/>
      <c r="C27" s="35">
        <f>SUM(C8:C26)</f>
        <v>271867000</v>
      </c>
      <c r="D27" s="15"/>
    </row>
    <row r="28" spans="1:4">
      <c r="A28" s="13"/>
      <c r="B28" s="14"/>
      <c r="C28" s="14"/>
      <c r="D28" s="15"/>
    </row>
    <row r="29" spans="1:4">
      <c r="A29" s="13"/>
      <c r="B29" s="14"/>
      <c r="C29" s="14"/>
      <c r="D29" s="15"/>
    </row>
    <row r="30" spans="1:4">
      <c r="A30" s="13"/>
      <c r="B30" s="14"/>
      <c r="C30" s="14"/>
      <c r="D30" s="15"/>
    </row>
    <row r="31" spans="1:4">
      <c r="A31" s="13"/>
      <c r="B31" s="14"/>
      <c r="C31" s="14"/>
      <c r="D31" s="15"/>
    </row>
    <row r="32" spans="1:4">
      <c r="A32" s="13"/>
      <c r="B32" s="14"/>
      <c r="C32" s="14"/>
      <c r="D32" s="15"/>
    </row>
    <row r="33" spans="1:4">
      <c r="A33" s="13"/>
      <c r="B33" s="14"/>
      <c r="C33" s="14"/>
      <c r="D33" s="15"/>
    </row>
    <row r="34" spans="1:4">
      <c r="A34" s="13"/>
      <c r="B34" s="14"/>
      <c r="C34" s="14"/>
      <c r="D34" s="15"/>
    </row>
    <row r="35" spans="1:4">
      <c r="A35" s="13"/>
      <c r="B35" s="14"/>
      <c r="C35" s="14"/>
      <c r="D35" s="15"/>
    </row>
    <row r="36" spans="1:4">
      <c r="A36" s="13"/>
      <c r="B36" s="14"/>
      <c r="C36" s="14"/>
      <c r="D36" s="15"/>
    </row>
    <row r="37" spans="1:4">
      <c r="A37" s="13"/>
      <c r="B37" s="14"/>
      <c r="C37" s="14"/>
      <c r="D37" s="15"/>
    </row>
    <row r="38" spans="1:4">
      <c r="A38" s="13"/>
      <c r="B38" s="14"/>
      <c r="C38" s="14"/>
      <c r="D38" s="15"/>
    </row>
    <row r="39" spans="1:4">
      <c r="A39" s="13"/>
      <c r="B39" s="14"/>
      <c r="C39" s="14"/>
      <c r="D39" s="15"/>
    </row>
    <row r="40" spans="1:4">
      <c r="A40" s="13"/>
      <c r="B40" s="14"/>
      <c r="C40" s="14"/>
      <c r="D40" s="15"/>
    </row>
    <row r="41" spans="1:4">
      <c r="A41" s="16"/>
      <c r="B41" s="17"/>
      <c r="C41" s="17"/>
      <c r="D41" s="18"/>
    </row>
  </sheetData>
  <mergeCells count="7">
    <mergeCell ref="A1:D1"/>
    <mergeCell ref="A2:D2"/>
    <mergeCell ref="A3:D3"/>
    <mergeCell ref="B5:B6"/>
    <mergeCell ref="C5:C6"/>
    <mergeCell ref="D5:D6"/>
    <mergeCell ref="A5:A6"/>
  </mergeCells>
  <phoneticPr fontId="7" type="noConversion"/>
  <printOptions horizontalCentered="1"/>
  <pageMargins left="0.57999999999999996" right="0.51" top="0.21" bottom="0.18" header="0" footer="0"/>
  <pageSetup scale="9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workbookViewId="0">
      <selection activeCell="F22" sqref="F22"/>
    </sheetView>
  </sheetViews>
  <sheetFormatPr baseColWidth="10" defaultRowHeight="12.75"/>
  <cols>
    <col min="1" max="1" width="37" bestFit="1" customWidth="1"/>
    <col min="2" max="2" width="15" bestFit="1" customWidth="1"/>
    <col min="3" max="3" width="14" bestFit="1" customWidth="1"/>
    <col min="4" max="4" width="14.85546875" bestFit="1" customWidth="1"/>
    <col min="5" max="5" width="14" bestFit="1" customWidth="1"/>
    <col min="6" max="6" width="43.28515625" customWidth="1"/>
  </cols>
  <sheetData>
    <row r="1" spans="1:6" ht="15.75">
      <c r="A1" s="420" t="s">
        <v>366</v>
      </c>
      <c r="B1" s="421"/>
      <c r="C1" s="421"/>
      <c r="D1" s="421"/>
      <c r="E1" s="421"/>
      <c r="F1" s="422"/>
    </row>
    <row r="2" spans="1:6">
      <c r="A2" s="423" t="s">
        <v>1131</v>
      </c>
      <c r="B2" s="350"/>
      <c r="C2" s="350"/>
      <c r="D2" s="350"/>
      <c r="E2" s="350"/>
      <c r="F2" s="351"/>
    </row>
    <row r="3" spans="1:6">
      <c r="A3" s="423" t="s">
        <v>42</v>
      </c>
      <c r="B3" s="350"/>
      <c r="C3" s="350"/>
      <c r="D3" s="350"/>
      <c r="E3" s="350"/>
      <c r="F3" s="351"/>
    </row>
    <row r="4" spans="1:6" ht="13.5" thickBot="1">
      <c r="A4" s="103"/>
      <c r="B4" s="14"/>
      <c r="C4" s="14"/>
      <c r="D4" s="14"/>
      <c r="E4" s="14"/>
      <c r="F4" s="104"/>
    </row>
    <row r="5" spans="1:6" ht="13.5" thickBot="1">
      <c r="A5" s="438" t="s">
        <v>0</v>
      </c>
      <c r="B5" s="439" t="s">
        <v>208</v>
      </c>
      <c r="C5" s="440"/>
      <c r="D5" s="441" t="s">
        <v>40</v>
      </c>
      <c r="E5" s="441" t="s">
        <v>41</v>
      </c>
      <c r="F5" s="438" t="s">
        <v>238</v>
      </c>
    </row>
    <row r="6" spans="1:6" ht="13.5" thickBot="1">
      <c r="A6" s="442"/>
      <c r="B6" s="443">
        <v>2010</v>
      </c>
      <c r="C6" s="443">
        <v>2011</v>
      </c>
      <c r="D6" s="443">
        <v>2011</v>
      </c>
      <c r="E6" s="443"/>
      <c r="F6" s="444"/>
    </row>
    <row r="7" spans="1:6">
      <c r="A7" s="103"/>
      <c r="B7" s="14"/>
      <c r="C7" s="14"/>
      <c r="D7" s="14"/>
      <c r="E7" s="14"/>
      <c r="F7" s="104"/>
    </row>
    <row r="8" spans="1:6">
      <c r="A8" s="105"/>
      <c r="B8" s="23"/>
      <c r="C8" s="23"/>
      <c r="D8" s="23"/>
      <c r="E8" s="23"/>
      <c r="F8" s="106"/>
    </row>
    <row r="9" spans="1:6">
      <c r="A9" s="107" t="s">
        <v>27</v>
      </c>
      <c r="B9" s="250">
        <f>VLOOKUP($A9,[1]Impuestos!$A$10:$I$20,7,0)</f>
        <v>98069723</v>
      </c>
      <c r="C9" s="96">
        <f>SUM('Ingresos Reales'!N7)</f>
        <v>99868892</v>
      </c>
      <c r="D9" s="24">
        <f>SUM('Presupuesto Ingresos'!N7)</f>
        <v>100265000</v>
      </c>
      <c r="E9" s="96">
        <f>SUM(C9-D9)</f>
        <v>-396108</v>
      </c>
      <c r="F9" s="108"/>
    </row>
    <row r="10" spans="1:6">
      <c r="A10" s="107"/>
      <c r="B10" s="250"/>
      <c r="C10" s="24"/>
      <c r="D10" s="24"/>
      <c r="E10" s="24"/>
      <c r="F10" s="108"/>
    </row>
    <row r="11" spans="1:6">
      <c r="A11" s="107" t="s">
        <v>170</v>
      </c>
      <c r="B11" s="250">
        <f>VLOOKUP($A11,[1]Impuestos!$A$10:$I$20,7,0)</f>
        <v>88514790.099999994</v>
      </c>
      <c r="C11" s="96">
        <f>SUM('Ingresos Reales'!N8)</f>
        <v>116292311.7</v>
      </c>
      <c r="D11" s="24">
        <f>SUM('Presupuesto Ingresos'!N8)</f>
        <v>89158000</v>
      </c>
      <c r="E11" s="96">
        <f>SUM(C11-D11)</f>
        <v>27134311.700000003</v>
      </c>
      <c r="F11" s="108"/>
    </row>
    <row r="12" spans="1:6">
      <c r="A12" s="107"/>
      <c r="B12" s="250"/>
      <c r="C12" s="24"/>
      <c r="D12" s="24"/>
      <c r="E12" s="24"/>
      <c r="F12" s="108"/>
    </row>
    <row r="13" spans="1:6">
      <c r="A13" s="107" t="s">
        <v>171</v>
      </c>
      <c r="B13" s="250">
        <f>VLOOKUP($A13,[1]Impuestos!$A$10:$I$20,7,0)</f>
        <v>77869.7</v>
      </c>
      <c r="C13" s="96">
        <f>SUM('Ingresos Reales'!N9)</f>
        <v>75283.399999999994</v>
      </c>
      <c r="D13" s="24">
        <f>SUM('Presupuesto Ingresos'!N9)</f>
        <v>82000</v>
      </c>
      <c r="E13" s="96">
        <f>SUM(C13-D13)</f>
        <v>-6716.6000000000058</v>
      </c>
      <c r="F13" s="108"/>
    </row>
    <row r="14" spans="1:6">
      <c r="A14" s="107"/>
      <c r="B14" s="250"/>
      <c r="C14" s="96"/>
      <c r="D14" s="24"/>
      <c r="E14" s="96"/>
      <c r="F14" s="108"/>
    </row>
    <row r="15" spans="1:6">
      <c r="A15" s="107" t="s">
        <v>172</v>
      </c>
      <c r="B15" s="250">
        <f>VLOOKUP($A15,[1]Impuestos!$A$10:$I$20,7,0)</f>
        <v>0</v>
      </c>
      <c r="C15" s="96">
        <f>SUM('Ingresos Reales'!N10)</f>
        <v>0</v>
      </c>
      <c r="D15" s="24">
        <f>SUM('Presupuesto Ingresos'!N10)</f>
        <v>0</v>
      </c>
      <c r="E15" s="96">
        <f>SUM(C15-D15)</f>
        <v>0</v>
      </c>
      <c r="F15" s="108"/>
    </row>
    <row r="16" spans="1:6">
      <c r="A16" s="107"/>
      <c r="B16" s="6"/>
      <c r="C16" s="24"/>
      <c r="D16" s="24"/>
      <c r="E16" s="24"/>
      <c r="F16" s="108"/>
    </row>
    <row r="17" spans="1:6">
      <c r="A17" s="107" t="s">
        <v>173</v>
      </c>
      <c r="B17" s="250">
        <f>VLOOKUP($A17,[1]Impuestos!$A$10:$I$20,7,0)</f>
        <v>0</v>
      </c>
      <c r="C17" s="96">
        <f>SUM('Ingresos Reales'!N11)</f>
        <v>0</v>
      </c>
      <c r="D17" s="24">
        <f>SUM('Presupuesto Ingresos'!N11)</f>
        <v>0</v>
      </c>
      <c r="E17" s="96">
        <f>SUM(C17-D17)</f>
        <v>0</v>
      </c>
      <c r="F17" s="108"/>
    </row>
    <row r="18" spans="1:6">
      <c r="A18" s="107"/>
      <c r="B18" s="250"/>
      <c r="C18" s="96"/>
      <c r="D18" s="24"/>
      <c r="E18" s="96"/>
      <c r="F18" s="108"/>
    </row>
    <row r="19" spans="1:6">
      <c r="A19" s="107" t="s">
        <v>150</v>
      </c>
      <c r="B19" s="250">
        <f>VLOOKUP($A19,[1]Impuestos!$A$10:$I$20,7,0)</f>
        <v>0</v>
      </c>
      <c r="C19" s="96">
        <f>SUM('Ingresos Reales'!N12)</f>
        <v>0</v>
      </c>
      <c r="D19" s="24">
        <f>SUM('Presupuesto Ingresos'!N12)</f>
        <v>0</v>
      </c>
      <c r="E19" s="96">
        <f>SUM(C19-D19)</f>
        <v>0</v>
      </c>
      <c r="F19" s="108"/>
    </row>
    <row r="20" spans="1:6">
      <c r="A20" s="109"/>
      <c r="B20" s="25"/>
      <c r="C20" s="25"/>
      <c r="D20" s="25"/>
      <c r="E20" s="25"/>
      <c r="F20" s="108"/>
    </row>
    <row r="21" spans="1:6">
      <c r="A21" s="103"/>
      <c r="B21" s="14"/>
      <c r="C21" s="14"/>
      <c r="D21" s="14"/>
      <c r="E21" s="14"/>
      <c r="F21" s="108"/>
    </row>
    <row r="22" spans="1:6" ht="24.75" customHeight="1">
      <c r="A22" s="436" t="s">
        <v>4</v>
      </c>
      <c r="B22" s="437">
        <f>SUM(B9:B20)</f>
        <v>186662382.79999998</v>
      </c>
      <c r="C22" s="437">
        <f>SUM(C9:C20)</f>
        <v>216236487.09999999</v>
      </c>
      <c r="D22" s="437">
        <f>SUM(D9:D20)</f>
        <v>189505000</v>
      </c>
      <c r="E22" s="437">
        <f>SUM(E9:E20)</f>
        <v>26731487.100000001</v>
      </c>
      <c r="F22" s="445"/>
    </row>
    <row r="23" spans="1:6" ht="13.5" thickBot="1">
      <c r="A23" s="113"/>
      <c r="B23" s="114"/>
      <c r="C23" s="114"/>
      <c r="D23" s="114"/>
      <c r="E23" s="114"/>
      <c r="F23" s="267"/>
    </row>
    <row r="24" spans="1:6">
      <c r="A24" s="13"/>
      <c r="B24" s="14"/>
      <c r="C24" s="14"/>
      <c r="D24" s="14"/>
      <c r="E24" s="14"/>
      <c r="F24" s="15"/>
    </row>
    <row r="25" spans="1:6">
      <c r="A25" s="13"/>
      <c r="B25" s="14"/>
      <c r="C25" s="14"/>
      <c r="D25" s="14"/>
      <c r="E25" s="14"/>
      <c r="F25" s="15"/>
    </row>
    <row r="26" spans="1:6">
      <c r="A26" s="13"/>
      <c r="B26" s="14"/>
      <c r="C26" s="14"/>
      <c r="D26" s="14"/>
      <c r="E26" s="14"/>
      <c r="F26" s="15"/>
    </row>
    <row r="27" spans="1:6">
      <c r="A27" s="13"/>
      <c r="B27" s="14"/>
      <c r="C27" s="14"/>
      <c r="D27" s="14"/>
      <c r="E27" s="14"/>
      <c r="F27" s="15"/>
    </row>
    <row r="28" spans="1:6">
      <c r="A28" s="13"/>
      <c r="B28" s="14"/>
      <c r="C28" s="14"/>
      <c r="D28" s="14"/>
      <c r="E28" s="14"/>
      <c r="F28" s="15"/>
    </row>
    <row r="29" spans="1:6">
      <c r="A29" s="13"/>
      <c r="B29" s="14"/>
      <c r="C29" s="14"/>
      <c r="D29" s="14"/>
      <c r="E29" s="14"/>
      <c r="F29" s="15"/>
    </row>
    <row r="30" spans="1:6">
      <c r="A30" s="13"/>
      <c r="B30" s="14"/>
      <c r="C30" s="14"/>
      <c r="D30" s="14"/>
      <c r="E30" s="14"/>
      <c r="F30" s="15"/>
    </row>
    <row r="31" spans="1:6">
      <c r="A31" s="13"/>
      <c r="B31" s="14"/>
      <c r="C31" s="14"/>
      <c r="D31" s="14"/>
      <c r="E31" s="14"/>
      <c r="F31" s="15"/>
    </row>
    <row r="32" spans="1:6">
      <c r="A32" s="13"/>
      <c r="B32" s="14"/>
      <c r="C32" s="14"/>
      <c r="D32" s="14"/>
      <c r="E32" s="14"/>
      <c r="F32" s="15"/>
    </row>
    <row r="33" spans="1:6">
      <c r="A33" s="13"/>
      <c r="B33" s="14"/>
      <c r="C33" s="14"/>
      <c r="D33" s="14"/>
      <c r="E33" s="14"/>
      <c r="F33" s="15"/>
    </row>
    <row r="34" spans="1:6">
      <c r="A34" s="13"/>
      <c r="B34" s="14"/>
      <c r="C34" s="14"/>
      <c r="D34" s="14"/>
      <c r="E34" s="14"/>
      <c r="F34" s="15"/>
    </row>
    <row r="35" spans="1:6">
      <c r="A35" s="13"/>
      <c r="B35" s="14"/>
      <c r="C35" s="14"/>
      <c r="D35" s="14"/>
      <c r="E35" s="14"/>
      <c r="F35" s="15"/>
    </row>
    <row r="36" spans="1:6">
      <c r="A36" s="13"/>
      <c r="B36" s="14"/>
      <c r="C36" s="14"/>
      <c r="D36" s="14"/>
      <c r="E36" s="14"/>
      <c r="F36" s="15"/>
    </row>
    <row r="37" spans="1:6">
      <c r="A37" s="13"/>
      <c r="B37" s="14"/>
      <c r="C37" s="14"/>
      <c r="D37" s="14"/>
      <c r="E37" s="14"/>
      <c r="F37" s="15"/>
    </row>
    <row r="38" spans="1:6">
      <c r="A38" s="13"/>
      <c r="B38" s="14"/>
      <c r="C38" s="14"/>
      <c r="D38" s="14"/>
      <c r="E38" s="14"/>
      <c r="F38" s="15"/>
    </row>
    <row r="39" spans="1:6">
      <c r="A39" s="13"/>
      <c r="B39" s="14"/>
      <c r="C39" s="14"/>
      <c r="D39" s="14"/>
      <c r="E39" s="14"/>
      <c r="F39" s="15"/>
    </row>
    <row r="40" spans="1:6">
      <c r="A40" s="13"/>
      <c r="B40" s="14"/>
      <c r="C40" s="14"/>
      <c r="D40" s="14"/>
      <c r="E40" s="14"/>
      <c r="F40" s="15"/>
    </row>
    <row r="41" spans="1:6">
      <c r="A41" s="13"/>
      <c r="B41" s="14"/>
      <c r="C41" s="14"/>
      <c r="D41" s="14"/>
      <c r="E41" s="14"/>
      <c r="F41" s="15"/>
    </row>
    <row r="42" spans="1:6">
      <c r="A42" s="13"/>
      <c r="B42" s="14"/>
      <c r="C42" s="14"/>
      <c r="D42" s="14"/>
      <c r="E42" s="14"/>
      <c r="F42" s="15"/>
    </row>
    <row r="43" spans="1:6">
      <c r="A43" s="13"/>
      <c r="B43" s="14"/>
      <c r="C43" s="14"/>
      <c r="D43" s="14"/>
      <c r="E43" s="14"/>
      <c r="F43" s="15"/>
    </row>
    <row r="44" spans="1:6">
      <c r="A44" s="13"/>
      <c r="B44" s="14"/>
      <c r="C44" s="14"/>
      <c r="D44" s="14"/>
      <c r="E44" s="14"/>
      <c r="F44" s="15"/>
    </row>
    <row r="45" spans="1:6">
      <c r="A45" s="13"/>
      <c r="B45" s="14"/>
      <c r="C45" s="14"/>
      <c r="D45" s="14"/>
      <c r="E45" s="14"/>
      <c r="F45" s="15"/>
    </row>
    <row r="46" spans="1:6">
      <c r="A46" s="16"/>
      <c r="B46" s="17"/>
      <c r="C46" s="17"/>
      <c r="D46" s="17"/>
      <c r="E46" s="17"/>
      <c r="F46" s="18"/>
    </row>
  </sheetData>
  <mergeCells count="4">
    <mergeCell ref="A2:F2"/>
    <mergeCell ref="A3:F3"/>
    <mergeCell ref="B5:C5"/>
    <mergeCell ref="A1:F1"/>
  </mergeCells>
  <phoneticPr fontId="7" type="noConversion"/>
  <printOptions horizontalCentered="1"/>
  <pageMargins left="0.39370078740157483" right="0.39370078740157483" top="0.31496062992125984" bottom="0.15748031496062992" header="0" footer="0"/>
  <pageSetup scale="94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7"/>
  <sheetViews>
    <sheetView workbookViewId="0">
      <selection activeCell="B3" sqref="B3:F3"/>
    </sheetView>
  </sheetViews>
  <sheetFormatPr baseColWidth="10" defaultRowHeight="12.75"/>
  <cols>
    <col min="1" max="1" width="2.7109375" customWidth="1"/>
    <col min="2" max="2" width="14.85546875" bestFit="1" customWidth="1"/>
    <col min="3" max="3" width="45.140625" customWidth="1"/>
    <col min="4" max="4" width="25.5703125" customWidth="1"/>
    <col min="5" max="5" width="13.42578125" bestFit="1" customWidth="1"/>
    <col min="6" max="6" width="50.28515625" customWidth="1"/>
  </cols>
  <sheetData>
    <row r="1" spans="2:6" ht="15.75">
      <c r="B1" s="336" t="s">
        <v>366</v>
      </c>
      <c r="C1" s="336"/>
      <c r="D1" s="336"/>
      <c r="E1" s="336"/>
      <c r="F1" s="336"/>
    </row>
    <row r="2" spans="2:6" ht="15.75">
      <c r="B2" s="336" t="s">
        <v>148</v>
      </c>
      <c r="C2" s="336"/>
      <c r="D2" s="336"/>
      <c r="E2" s="336"/>
      <c r="F2" s="336"/>
    </row>
    <row r="3" spans="2:6" ht="15.75">
      <c r="B3" s="336" t="s">
        <v>1137</v>
      </c>
      <c r="C3" s="336"/>
      <c r="D3" s="336"/>
      <c r="E3" s="336"/>
      <c r="F3" s="336"/>
    </row>
    <row r="4" spans="2:6" ht="13.5" thickBot="1"/>
    <row r="5" spans="2:6" ht="13.5" thickBot="1">
      <c r="B5" s="37" t="s">
        <v>147</v>
      </c>
      <c r="C5" s="20" t="s">
        <v>139</v>
      </c>
      <c r="D5" s="44" t="s">
        <v>144</v>
      </c>
      <c r="E5" s="20" t="s">
        <v>146</v>
      </c>
      <c r="F5" s="38" t="s">
        <v>145</v>
      </c>
    </row>
    <row r="6" spans="2:6" ht="13.5" thickBot="1">
      <c r="B6" s="14"/>
      <c r="C6" s="14"/>
      <c r="D6" s="14"/>
      <c r="E6" s="14"/>
      <c r="F6" s="14"/>
    </row>
    <row r="7" spans="2:6">
      <c r="B7" s="43"/>
      <c r="C7" s="43"/>
      <c r="D7" s="43"/>
      <c r="E7" s="43"/>
      <c r="F7" s="43"/>
    </row>
    <row r="8" spans="2:6">
      <c r="B8" s="41"/>
      <c r="C8" s="41"/>
      <c r="D8" s="41"/>
      <c r="E8" s="41"/>
      <c r="F8" s="41"/>
    </row>
    <row r="9" spans="2:6">
      <c r="B9" s="41"/>
      <c r="C9" s="41"/>
      <c r="D9" s="41"/>
      <c r="E9" s="41"/>
      <c r="F9" s="41"/>
    </row>
    <row r="10" spans="2:6">
      <c r="B10" s="41"/>
      <c r="C10" s="41"/>
      <c r="D10" s="41"/>
      <c r="E10" s="41"/>
      <c r="F10" s="41"/>
    </row>
    <row r="11" spans="2:6">
      <c r="B11" s="41"/>
      <c r="C11" s="41"/>
      <c r="D11" s="41"/>
      <c r="E11" s="41"/>
      <c r="F11" s="41"/>
    </row>
    <row r="12" spans="2:6">
      <c r="B12" s="41"/>
      <c r="C12" s="41"/>
      <c r="D12" s="41"/>
      <c r="E12" s="41"/>
      <c r="F12" s="41"/>
    </row>
    <row r="13" spans="2:6">
      <c r="B13" s="41"/>
      <c r="C13" s="41" t="s">
        <v>383</v>
      </c>
      <c r="D13" s="41"/>
      <c r="E13" s="41"/>
      <c r="F13" s="41"/>
    </row>
    <row r="14" spans="2:6">
      <c r="B14" s="41"/>
      <c r="C14" s="41"/>
      <c r="D14" s="41"/>
      <c r="E14" s="41"/>
      <c r="F14" s="41"/>
    </row>
    <row r="15" spans="2:6">
      <c r="B15" s="41"/>
      <c r="C15" s="41"/>
      <c r="D15" s="41"/>
      <c r="E15" s="41"/>
      <c r="F15" s="41"/>
    </row>
    <row r="16" spans="2:6">
      <c r="B16" s="41"/>
      <c r="C16" s="41"/>
      <c r="D16" s="41"/>
      <c r="E16" s="41"/>
      <c r="F16" s="41"/>
    </row>
    <row r="17" spans="2:6">
      <c r="B17" s="41"/>
      <c r="C17" s="214"/>
      <c r="D17" s="41"/>
      <c r="E17" s="41"/>
      <c r="F17" s="41"/>
    </row>
    <row r="18" spans="2:6">
      <c r="B18" s="41"/>
      <c r="C18" s="41"/>
      <c r="D18" s="41"/>
      <c r="E18" s="41"/>
      <c r="F18" s="41"/>
    </row>
    <row r="19" spans="2:6">
      <c r="B19" s="41"/>
      <c r="C19" s="41"/>
      <c r="D19" s="41"/>
      <c r="E19" s="41"/>
      <c r="F19" s="41"/>
    </row>
    <row r="20" spans="2:6">
      <c r="B20" s="41"/>
      <c r="C20" s="41"/>
      <c r="D20" s="41"/>
      <c r="E20" s="41"/>
      <c r="F20" s="41"/>
    </row>
    <row r="21" spans="2:6">
      <c r="B21" s="41"/>
      <c r="C21" s="41"/>
      <c r="D21" s="41"/>
      <c r="E21" s="41"/>
      <c r="F21" s="41"/>
    </row>
    <row r="22" spans="2:6">
      <c r="B22" s="41"/>
      <c r="C22" s="41"/>
      <c r="D22" s="41"/>
      <c r="E22" s="41"/>
      <c r="F22" s="41"/>
    </row>
    <row r="23" spans="2:6">
      <c r="B23" s="41"/>
      <c r="C23" s="41"/>
      <c r="D23" s="41"/>
      <c r="E23" s="41"/>
      <c r="F23" s="41"/>
    </row>
    <row r="24" spans="2:6">
      <c r="B24" s="41"/>
      <c r="C24" s="41"/>
      <c r="D24" s="41"/>
      <c r="E24" s="41"/>
      <c r="F24" s="41"/>
    </row>
    <row r="25" spans="2:6">
      <c r="B25" s="41"/>
      <c r="C25" s="41"/>
      <c r="D25" s="41"/>
      <c r="E25" s="41"/>
      <c r="F25" s="41"/>
    </row>
    <row r="26" spans="2:6">
      <c r="B26" s="41"/>
      <c r="C26" s="41"/>
      <c r="D26" s="41"/>
      <c r="E26" s="41"/>
      <c r="F26" s="41"/>
    </row>
    <row r="27" spans="2:6">
      <c r="B27" s="41"/>
      <c r="C27" s="41"/>
      <c r="D27" s="41"/>
      <c r="E27" s="41"/>
      <c r="F27" s="41"/>
    </row>
    <row r="28" spans="2:6">
      <c r="B28" s="41"/>
      <c r="C28" s="41"/>
      <c r="D28" s="41"/>
      <c r="E28" s="41"/>
      <c r="F28" s="41"/>
    </row>
    <row r="29" spans="2:6">
      <c r="B29" s="41"/>
      <c r="C29" s="41"/>
      <c r="D29" s="41"/>
      <c r="E29" s="41"/>
      <c r="F29" s="41"/>
    </row>
    <row r="30" spans="2:6">
      <c r="B30" s="41"/>
      <c r="C30" s="41"/>
      <c r="D30" s="41"/>
      <c r="E30" s="41"/>
      <c r="F30" s="41"/>
    </row>
    <row r="31" spans="2:6">
      <c r="B31" s="41"/>
      <c r="C31" s="41"/>
      <c r="D31" s="41"/>
      <c r="E31" s="41"/>
      <c r="F31" s="41"/>
    </row>
    <row r="32" spans="2:6">
      <c r="B32" s="41"/>
      <c r="C32" s="41"/>
      <c r="D32" s="41"/>
      <c r="E32" s="41"/>
      <c r="F32" s="41"/>
    </row>
    <row r="33" spans="2:6">
      <c r="B33" s="41"/>
      <c r="C33" s="41"/>
      <c r="D33" s="41"/>
      <c r="E33" s="41"/>
      <c r="F33" s="41"/>
    </row>
    <row r="34" spans="2:6">
      <c r="B34" s="41"/>
      <c r="C34" s="41"/>
      <c r="D34" s="41"/>
      <c r="E34" s="41"/>
      <c r="F34" s="41"/>
    </row>
    <row r="35" spans="2:6">
      <c r="B35" s="41"/>
      <c r="C35" s="41"/>
      <c r="D35" s="41"/>
      <c r="E35" s="41"/>
      <c r="F35" s="41"/>
    </row>
    <row r="36" spans="2:6">
      <c r="B36" s="41"/>
      <c r="C36" s="41"/>
      <c r="D36" s="41"/>
      <c r="E36" s="41"/>
      <c r="F36" s="41"/>
    </row>
    <row r="37" spans="2:6">
      <c r="B37" s="41"/>
      <c r="C37" s="41"/>
      <c r="D37" s="41"/>
      <c r="E37" s="41"/>
      <c r="F37" s="41"/>
    </row>
    <row r="38" spans="2:6">
      <c r="B38" s="41"/>
      <c r="C38" s="41"/>
      <c r="D38" s="41"/>
      <c r="E38" s="41"/>
      <c r="F38" s="41"/>
    </row>
    <row r="39" spans="2:6">
      <c r="B39" s="41"/>
      <c r="C39" s="41"/>
      <c r="D39" s="41"/>
      <c r="E39" s="41"/>
      <c r="F39" s="41"/>
    </row>
    <row r="40" spans="2:6">
      <c r="B40" s="41"/>
      <c r="C40" s="41"/>
      <c r="D40" s="41"/>
      <c r="E40" s="41"/>
      <c r="F40" s="41"/>
    </row>
    <row r="41" spans="2:6">
      <c r="B41" s="41"/>
      <c r="C41" s="41"/>
      <c r="D41" s="41"/>
      <c r="E41" s="41"/>
      <c r="F41" s="41"/>
    </row>
    <row r="42" spans="2:6">
      <c r="B42" s="41"/>
      <c r="C42" s="41"/>
      <c r="D42" s="41"/>
      <c r="E42" s="41"/>
      <c r="F42" s="41"/>
    </row>
    <row r="43" spans="2:6">
      <c r="B43" s="41"/>
      <c r="C43" s="41"/>
      <c r="D43" s="41"/>
      <c r="E43" s="41"/>
      <c r="F43" s="41"/>
    </row>
    <row r="44" spans="2:6">
      <c r="B44" s="41"/>
      <c r="C44" s="41"/>
      <c r="D44" s="41"/>
      <c r="E44" s="41"/>
      <c r="F44" s="41"/>
    </row>
    <row r="45" spans="2:6">
      <c r="B45" s="41"/>
      <c r="C45" s="41"/>
      <c r="D45" s="41"/>
      <c r="E45" s="41"/>
      <c r="F45" s="41"/>
    </row>
    <row r="46" spans="2:6">
      <c r="B46" s="41"/>
      <c r="C46" s="41"/>
      <c r="D46" s="41"/>
      <c r="E46" s="41"/>
      <c r="F46" s="41"/>
    </row>
    <row r="47" spans="2:6" ht="13.5" thickBot="1">
      <c r="B47" s="42"/>
      <c r="C47" s="42"/>
      <c r="D47" s="42"/>
      <c r="E47" s="42"/>
      <c r="F47" s="42"/>
    </row>
  </sheetData>
  <mergeCells count="3">
    <mergeCell ref="B2:F2"/>
    <mergeCell ref="B3:F3"/>
    <mergeCell ref="B1:F1"/>
  </mergeCells>
  <phoneticPr fontId="7" type="noConversion"/>
  <printOptions horizontalCentered="1"/>
  <pageMargins left="0.16" right="0.75" top="0.51" bottom="1" header="0" footer="0"/>
  <pageSetup scale="77" orientation="landscape" horizontalDpi="4294967292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B1:E40"/>
  <sheetViews>
    <sheetView workbookViewId="0">
      <selection activeCell="A4" sqref="A1:A1048576"/>
    </sheetView>
  </sheetViews>
  <sheetFormatPr baseColWidth="10" defaultRowHeight="12.75"/>
  <cols>
    <col min="1" max="1" width="2.7109375" customWidth="1"/>
    <col min="2" max="2" width="14.85546875" customWidth="1"/>
    <col min="3" max="3" width="45.140625" customWidth="1"/>
    <col min="4" max="4" width="36.7109375" customWidth="1"/>
    <col min="5" max="5" width="26.5703125" customWidth="1"/>
  </cols>
  <sheetData>
    <row r="1" spans="2:5" ht="15.75">
      <c r="B1" s="336" t="s">
        <v>366</v>
      </c>
      <c r="C1" s="336"/>
      <c r="D1" s="336"/>
      <c r="E1" s="336"/>
    </row>
    <row r="2" spans="2:5" ht="15.75">
      <c r="B2" s="336" t="s">
        <v>214</v>
      </c>
      <c r="C2" s="336"/>
      <c r="D2" s="336"/>
      <c r="E2" s="336"/>
    </row>
    <row r="3" spans="2:5" ht="15.75">
      <c r="B3" s="336" t="s">
        <v>1137</v>
      </c>
      <c r="C3" s="336"/>
      <c r="D3" s="336"/>
      <c r="E3" s="336"/>
    </row>
    <row r="4" spans="2:5" ht="15.75">
      <c r="C4" s="60"/>
      <c r="D4" s="60"/>
      <c r="E4" s="60"/>
    </row>
    <row r="5" spans="2:5" ht="13.5" thickBot="1"/>
    <row r="6" spans="2:5">
      <c r="B6" s="66" t="s">
        <v>215</v>
      </c>
      <c r="C6" s="348" t="s">
        <v>217</v>
      </c>
      <c r="D6" s="348" t="s">
        <v>355</v>
      </c>
      <c r="E6" s="348" t="s">
        <v>218</v>
      </c>
    </row>
    <row r="7" spans="2:5" ht="13.5" thickBot="1">
      <c r="B7" s="67" t="s">
        <v>216</v>
      </c>
      <c r="C7" s="349"/>
      <c r="D7" s="349"/>
      <c r="E7" s="349"/>
    </row>
    <row r="8" spans="2:5" ht="13.5" thickBot="1">
      <c r="B8" s="14"/>
      <c r="C8" s="14"/>
      <c r="D8" s="14"/>
      <c r="E8" s="14"/>
    </row>
    <row r="9" spans="2:5">
      <c r="B9" s="43"/>
      <c r="C9" s="43"/>
      <c r="D9" s="43"/>
      <c r="E9" s="43"/>
    </row>
    <row r="10" spans="2:5">
      <c r="B10" s="41"/>
      <c r="C10" s="41"/>
      <c r="D10" s="41"/>
      <c r="E10" s="41"/>
    </row>
    <row r="11" spans="2:5">
      <c r="B11" s="41"/>
      <c r="C11" s="41"/>
      <c r="D11" s="41"/>
      <c r="E11" s="41"/>
    </row>
    <row r="12" spans="2:5">
      <c r="B12" s="41"/>
      <c r="C12" s="41"/>
      <c r="D12" s="41"/>
      <c r="E12" s="41"/>
    </row>
    <row r="13" spans="2:5">
      <c r="B13" s="41"/>
      <c r="C13" s="41"/>
      <c r="D13" s="41"/>
      <c r="E13" s="41"/>
    </row>
    <row r="14" spans="2:5">
      <c r="B14" s="41"/>
      <c r="C14" s="41"/>
      <c r="D14" s="41"/>
      <c r="E14" s="41"/>
    </row>
    <row r="15" spans="2:5">
      <c r="B15" s="41"/>
      <c r="C15" s="41" t="s">
        <v>385</v>
      </c>
      <c r="D15" s="41"/>
      <c r="E15" s="41"/>
    </row>
    <row r="16" spans="2:5">
      <c r="B16" s="41"/>
      <c r="C16" s="41" t="s">
        <v>384</v>
      </c>
      <c r="D16" s="41"/>
      <c r="E16" s="41"/>
    </row>
    <row r="17" spans="2:5">
      <c r="B17" s="41"/>
      <c r="C17" s="41"/>
      <c r="D17" s="41"/>
      <c r="E17" s="41"/>
    </row>
    <row r="18" spans="2:5">
      <c r="B18" s="41"/>
      <c r="C18" s="214"/>
      <c r="D18" s="41"/>
      <c r="E18" s="41"/>
    </row>
    <row r="19" spans="2:5">
      <c r="B19" s="41"/>
      <c r="C19" s="41"/>
      <c r="D19" s="41"/>
      <c r="E19" s="41"/>
    </row>
    <row r="20" spans="2:5">
      <c r="B20" s="41"/>
      <c r="C20" s="41"/>
      <c r="D20" s="41"/>
      <c r="E20" s="41"/>
    </row>
    <row r="21" spans="2:5">
      <c r="B21" s="41"/>
      <c r="C21" s="41"/>
      <c r="D21" s="41"/>
      <c r="E21" s="41"/>
    </row>
    <row r="22" spans="2:5">
      <c r="B22" s="41"/>
      <c r="C22" s="41"/>
      <c r="D22" s="41"/>
      <c r="E22" s="41"/>
    </row>
    <row r="23" spans="2:5">
      <c r="B23" s="41"/>
      <c r="C23" s="41"/>
      <c r="D23" s="41"/>
      <c r="E23" s="41"/>
    </row>
    <row r="24" spans="2:5">
      <c r="B24" s="41"/>
      <c r="C24" s="41"/>
      <c r="D24" s="41"/>
      <c r="E24" s="41"/>
    </row>
    <row r="25" spans="2:5">
      <c r="B25" s="41"/>
      <c r="C25" s="41"/>
      <c r="D25" s="41"/>
      <c r="E25" s="41"/>
    </row>
    <row r="26" spans="2:5">
      <c r="B26" s="41"/>
      <c r="C26" s="41"/>
      <c r="D26" s="41"/>
      <c r="E26" s="41"/>
    </row>
    <row r="27" spans="2:5">
      <c r="B27" s="41"/>
      <c r="C27" s="41"/>
      <c r="D27" s="41"/>
      <c r="E27" s="41"/>
    </row>
    <row r="28" spans="2:5">
      <c r="B28" s="41"/>
      <c r="C28" s="41"/>
      <c r="D28" s="41"/>
      <c r="E28" s="41"/>
    </row>
    <row r="29" spans="2:5">
      <c r="B29" s="41"/>
      <c r="C29" s="41"/>
      <c r="D29" s="41"/>
      <c r="E29" s="41"/>
    </row>
    <row r="30" spans="2:5">
      <c r="B30" s="41"/>
      <c r="C30" s="41"/>
      <c r="D30" s="41"/>
      <c r="E30" s="41"/>
    </row>
    <row r="31" spans="2:5">
      <c r="B31" s="41"/>
      <c r="C31" s="41"/>
      <c r="D31" s="41"/>
      <c r="E31" s="41"/>
    </row>
    <row r="32" spans="2:5">
      <c r="B32" s="41"/>
      <c r="C32" s="41"/>
      <c r="D32" s="41"/>
      <c r="E32" s="41"/>
    </row>
    <row r="33" spans="2:5">
      <c r="B33" s="41"/>
      <c r="C33" s="41"/>
      <c r="D33" s="41"/>
      <c r="E33" s="41"/>
    </row>
    <row r="34" spans="2:5">
      <c r="B34" s="41"/>
      <c r="C34" s="41"/>
      <c r="D34" s="41"/>
      <c r="E34" s="41"/>
    </row>
    <row r="35" spans="2:5">
      <c r="B35" s="41"/>
      <c r="C35" s="41"/>
      <c r="D35" s="41"/>
      <c r="E35" s="41"/>
    </row>
    <row r="36" spans="2:5">
      <c r="B36" s="41"/>
      <c r="C36" s="41"/>
      <c r="D36" s="41"/>
      <c r="E36" s="41"/>
    </row>
    <row r="37" spans="2:5">
      <c r="B37" s="41"/>
      <c r="C37" s="41"/>
      <c r="D37" s="41"/>
      <c r="E37" s="41"/>
    </row>
    <row r="38" spans="2:5">
      <c r="B38" s="41"/>
      <c r="C38" s="41"/>
      <c r="D38" s="41"/>
      <c r="E38" s="41"/>
    </row>
    <row r="39" spans="2:5">
      <c r="B39" s="41"/>
      <c r="C39" s="41"/>
      <c r="D39" s="41"/>
      <c r="E39" s="41"/>
    </row>
    <row r="40" spans="2:5" ht="13.5" thickBot="1">
      <c r="B40" s="42"/>
      <c r="C40" s="42"/>
      <c r="D40" s="42"/>
      <c r="E40" s="42"/>
    </row>
  </sheetData>
  <mergeCells count="6">
    <mergeCell ref="B1:E1"/>
    <mergeCell ref="C6:C7"/>
    <mergeCell ref="D6:D7"/>
    <mergeCell ref="E6:E7"/>
    <mergeCell ref="B2:E2"/>
    <mergeCell ref="B3:E3"/>
  </mergeCells>
  <phoneticPr fontId="7" type="noConversion"/>
  <printOptions horizontalCentered="1"/>
  <pageMargins left="0.22" right="0.75" top="0.17" bottom="0.17" header="0" footer="0"/>
  <pageSetup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2:G42"/>
  <sheetViews>
    <sheetView workbookViewId="0">
      <selection activeCell="C16" sqref="C16"/>
    </sheetView>
  </sheetViews>
  <sheetFormatPr baseColWidth="10" defaultRowHeight="12.75"/>
  <cols>
    <col min="3" max="3" width="34.28515625" customWidth="1"/>
    <col min="6" max="6" width="36.140625" customWidth="1"/>
  </cols>
  <sheetData>
    <row r="2" spans="1:7" ht="15.75">
      <c r="A2" s="336" t="s">
        <v>248</v>
      </c>
      <c r="B2" s="336"/>
      <c r="C2" s="336"/>
      <c r="D2" s="336"/>
      <c r="E2" s="336"/>
      <c r="F2" s="336"/>
      <c r="G2" s="336"/>
    </row>
    <row r="3" spans="1:7" ht="15.75">
      <c r="A3" s="336" t="s">
        <v>1135</v>
      </c>
      <c r="B3" s="336"/>
      <c r="C3" s="336"/>
      <c r="D3" s="336"/>
      <c r="E3" s="336"/>
      <c r="F3" s="336"/>
      <c r="G3" s="336"/>
    </row>
    <row r="4" spans="1:7" ht="13.5" thickBot="1"/>
    <row r="5" spans="1:7" ht="14.25" thickTop="1" thickBot="1">
      <c r="A5" s="359" t="s">
        <v>254</v>
      </c>
      <c r="B5" s="360"/>
      <c r="C5" s="361"/>
      <c r="D5" s="358" t="s">
        <v>253</v>
      </c>
      <c r="E5" s="358"/>
      <c r="F5" s="358"/>
      <c r="G5" s="358"/>
    </row>
    <row r="6" spans="1:7" ht="14.25" thickTop="1" thickBot="1">
      <c r="A6" s="80" t="s">
        <v>249</v>
      </c>
      <c r="B6" s="80" t="s">
        <v>250</v>
      </c>
      <c r="C6" s="80" t="s">
        <v>252</v>
      </c>
      <c r="D6" s="80" t="s">
        <v>251</v>
      </c>
      <c r="E6" s="80" t="s">
        <v>250</v>
      </c>
      <c r="F6" s="80" t="s">
        <v>0</v>
      </c>
      <c r="G6" s="80" t="s">
        <v>140</v>
      </c>
    </row>
    <row r="7" spans="1:7" ht="14.25" thickTop="1" thickBot="1"/>
    <row r="8" spans="1:7" ht="13.5" thickTop="1">
      <c r="A8" s="81"/>
      <c r="B8" s="81"/>
      <c r="C8" s="81"/>
      <c r="D8" s="81"/>
      <c r="E8" s="81"/>
      <c r="F8" s="81"/>
      <c r="G8" s="81"/>
    </row>
    <row r="9" spans="1:7">
      <c r="A9" s="82"/>
      <c r="B9" s="82"/>
      <c r="C9" s="82"/>
      <c r="D9" s="82"/>
      <c r="E9" s="82"/>
      <c r="F9" s="82"/>
      <c r="G9" s="82"/>
    </row>
    <row r="10" spans="1:7">
      <c r="A10" s="82"/>
      <c r="B10" s="82"/>
      <c r="C10" s="82"/>
      <c r="D10" s="82"/>
      <c r="E10" s="82"/>
      <c r="F10" s="82"/>
      <c r="G10" s="82"/>
    </row>
    <row r="11" spans="1:7">
      <c r="A11" s="82"/>
      <c r="B11" s="82"/>
      <c r="C11" s="82"/>
      <c r="D11" s="82"/>
      <c r="E11" s="82"/>
      <c r="F11" s="82"/>
      <c r="G11" s="82"/>
    </row>
    <row r="12" spans="1:7">
      <c r="A12" s="82"/>
      <c r="B12" s="82"/>
      <c r="C12" s="82"/>
      <c r="D12" s="82"/>
      <c r="E12" s="82"/>
      <c r="F12" s="82"/>
      <c r="G12" s="82"/>
    </row>
    <row r="13" spans="1:7">
      <c r="A13" s="82"/>
      <c r="B13" s="82"/>
      <c r="C13" s="82"/>
      <c r="D13" s="82"/>
      <c r="E13" s="82"/>
      <c r="F13" s="82"/>
      <c r="G13" s="82"/>
    </row>
    <row r="14" spans="1:7">
      <c r="A14" s="82"/>
      <c r="B14" s="82"/>
      <c r="C14" s="241" t="s">
        <v>619</v>
      </c>
      <c r="D14" s="82"/>
      <c r="E14" s="82"/>
      <c r="F14" s="82"/>
      <c r="G14" s="82"/>
    </row>
    <row r="15" spans="1:7">
      <c r="A15" s="82"/>
      <c r="B15" s="82"/>
      <c r="C15" s="241" t="s">
        <v>1465</v>
      </c>
      <c r="D15" s="82"/>
      <c r="E15" s="82"/>
      <c r="F15" s="82"/>
      <c r="G15" s="82"/>
    </row>
    <row r="16" spans="1:7">
      <c r="A16" s="82"/>
      <c r="B16" s="82"/>
      <c r="C16" s="82"/>
      <c r="D16" s="82"/>
      <c r="E16" s="82"/>
      <c r="F16" s="82"/>
      <c r="G16" s="82"/>
    </row>
    <row r="17" spans="1:7">
      <c r="A17" s="82"/>
      <c r="B17" s="82"/>
      <c r="C17" s="82"/>
      <c r="D17" s="82"/>
      <c r="E17" s="82"/>
      <c r="F17" s="82"/>
      <c r="G17" s="82"/>
    </row>
    <row r="18" spans="1:7">
      <c r="A18" s="82"/>
      <c r="B18" s="82"/>
      <c r="C18" s="82"/>
      <c r="D18" s="82"/>
      <c r="E18" s="82"/>
      <c r="F18" s="82"/>
      <c r="G18" s="82"/>
    </row>
    <row r="19" spans="1:7">
      <c r="A19" s="82"/>
      <c r="B19" s="82"/>
      <c r="C19" s="82"/>
      <c r="D19" s="82"/>
      <c r="E19" s="82"/>
      <c r="F19" s="82"/>
      <c r="G19" s="82"/>
    </row>
    <row r="20" spans="1:7">
      <c r="A20" s="82"/>
      <c r="B20" s="82"/>
      <c r="C20" s="82"/>
      <c r="D20" s="82"/>
      <c r="E20" s="82"/>
      <c r="F20" s="82"/>
      <c r="G20" s="82"/>
    </row>
    <row r="21" spans="1:7">
      <c r="A21" s="82"/>
      <c r="B21" s="82"/>
      <c r="C21" s="228"/>
      <c r="D21" s="82"/>
      <c r="E21" s="82"/>
      <c r="F21" s="82"/>
      <c r="G21" s="82"/>
    </row>
    <row r="22" spans="1:7">
      <c r="A22" s="82"/>
      <c r="B22" s="82"/>
      <c r="C22" s="228"/>
      <c r="D22" s="82"/>
      <c r="E22" s="82"/>
      <c r="F22" s="82"/>
      <c r="G22" s="82"/>
    </row>
    <row r="23" spans="1:7">
      <c r="A23" s="82"/>
      <c r="B23" s="82"/>
      <c r="C23" s="228"/>
      <c r="D23" s="82"/>
      <c r="E23" s="82"/>
      <c r="F23" s="82"/>
      <c r="G23" s="82"/>
    </row>
    <row r="24" spans="1:7">
      <c r="A24" s="82"/>
      <c r="B24" s="82"/>
      <c r="C24" s="228"/>
      <c r="D24" s="82"/>
      <c r="E24" s="82"/>
      <c r="F24" s="82"/>
      <c r="G24" s="82"/>
    </row>
    <row r="25" spans="1:7">
      <c r="A25" s="82"/>
      <c r="B25" s="82"/>
      <c r="C25" s="82"/>
      <c r="D25" s="82"/>
      <c r="E25" s="82"/>
      <c r="F25" s="82"/>
      <c r="G25" s="82"/>
    </row>
    <row r="26" spans="1:7">
      <c r="A26" s="82"/>
      <c r="B26" s="82"/>
      <c r="C26" s="82"/>
      <c r="D26" s="82"/>
      <c r="E26" s="82"/>
      <c r="F26" s="82"/>
      <c r="G26" s="82"/>
    </row>
    <row r="27" spans="1:7">
      <c r="A27" s="82"/>
      <c r="B27" s="82"/>
      <c r="C27" s="82"/>
      <c r="D27" s="82"/>
      <c r="E27" s="82"/>
      <c r="F27" s="82"/>
      <c r="G27" s="82"/>
    </row>
    <row r="28" spans="1:7">
      <c r="A28" s="82"/>
      <c r="B28" s="82"/>
      <c r="C28" s="82"/>
      <c r="D28" s="82"/>
      <c r="E28" s="82"/>
      <c r="F28" s="82"/>
      <c r="G28" s="82"/>
    </row>
    <row r="29" spans="1:7">
      <c r="A29" s="82"/>
      <c r="B29" s="82"/>
      <c r="C29" s="82"/>
      <c r="D29" s="82"/>
      <c r="E29" s="82"/>
      <c r="F29" s="82"/>
      <c r="G29" s="82"/>
    </row>
    <row r="30" spans="1:7">
      <c r="A30" s="82"/>
      <c r="B30" s="82"/>
      <c r="C30" s="82"/>
      <c r="D30" s="82"/>
      <c r="E30" s="82"/>
      <c r="F30" s="82"/>
      <c r="G30" s="82"/>
    </row>
    <row r="31" spans="1:7">
      <c r="A31" s="82"/>
      <c r="B31" s="82"/>
      <c r="C31" s="82"/>
      <c r="D31" s="82"/>
      <c r="E31" s="82"/>
      <c r="F31" s="82"/>
      <c r="G31" s="82"/>
    </row>
    <row r="32" spans="1:7">
      <c r="A32" s="82"/>
      <c r="B32" s="82"/>
      <c r="C32" s="82"/>
      <c r="D32" s="82"/>
      <c r="E32" s="82"/>
      <c r="F32" s="82"/>
      <c r="G32" s="82"/>
    </row>
    <row r="33" spans="1:7">
      <c r="A33" s="82"/>
      <c r="B33" s="82"/>
      <c r="C33" s="82"/>
      <c r="D33" s="82"/>
      <c r="E33" s="82"/>
      <c r="F33" s="82"/>
      <c r="G33" s="82"/>
    </row>
    <row r="34" spans="1:7">
      <c r="A34" s="82"/>
      <c r="B34" s="82"/>
      <c r="C34" s="82"/>
      <c r="D34" s="82"/>
      <c r="E34" s="82"/>
      <c r="F34" s="82"/>
      <c r="G34" s="82"/>
    </row>
    <row r="35" spans="1:7">
      <c r="A35" s="82"/>
      <c r="B35" s="82"/>
      <c r="C35" s="82"/>
      <c r="D35" s="82"/>
      <c r="E35" s="82"/>
      <c r="F35" s="82"/>
      <c r="G35" s="82"/>
    </row>
    <row r="36" spans="1:7">
      <c r="A36" s="82"/>
      <c r="B36" s="82"/>
      <c r="C36" s="82"/>
      <c r="D36" s="82"/>
      <c r="E36" s="82"/>
      <c r="F36" s="82"/>
      <c r="G36" s="82"/>
    </row>
    <row r="37" spans="1:7">
      <c r="A37" s="82"/>
      <c r="B37" s="82"/>
      <c r="C37" s="82"/>
      <c r="D37" s="82"/>
      <c r="E37" s="82"/>
      <c r="F37" s="82"/>
      <c r="G37" s="82"/>
    </row>
    <row r="38" spans="1:7">
      <c r="A38" s="82"/>
      <c r="B38" s="82"/>
      <c r="C38" s="82"/>
      <c r="D38" s="82"/>
      <c r="E38" s="82"/>
      <c r="F38" s="82"/>
      <c r="G38" s="82"/>
    </row>
    <row r="39" spans="1:7">
      <c r="A39" s="82"/>
      <c r="B39" s="82"/>
      <c r="C39" s="82"/>
      <c r="D39" s="82"/>
      <c r="E39" s="82"/>
      <c r="F39" s="82"/>
      <c r="G39" s="82"/>
    </row>
    <row r="40" spans="1:7">
      <c r="A40" s="82"/>
      <c r="B40" s="82"/>
      <c r="C40" s="82"/>
      <c r="D40" s="82"/>
      <c r="E40" s="82"/>
      <c r="F40" s="82"/>
      <c r="G40" s="82"/>
    </row>
    <row r="41" spans="1:7" ht="13.5" thickBot="1">
      <c r="A41" s="83"/>
      <c r="B41" s="83"/>
      <c r="C41" s="83"/>
      <c r="D41" s="83"/>
      <c r="E41" s="83"/>
      <c r="F41" s="83"/>
      <c r="G41" s="83"/>
    </row>
    <row r="42" spans="1:7" ht="13.5" thickTop="1"/>
  </sheetData>
  <mergeCells count="4">
    <mergeCell ref="A2:G2"/>
    <mergeCell ref="D5:G5"/>
    <mergeCell ref="A5:C5"/>
    <mergeCell ref="A3:G3"/>
  </mergeCells>
  <phoneticPr fontId="7" type="noConversion"/>
  <printOptions horizontalCentered="1"/>
  <pageMargins left="0.2" right="0.28000000000000003" top="0.5" bottom="0.17" header="0" footer="0"/>
  <pageSetup orientation="landscape" horizontalDpi="4294967292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282"/>
  <sheetViews>
    <sheetView topLeftCell="D1" workbookViewId="0">
      <selection activeCell="O284" sqref="O284"/>
    </sheetView>
  </sheetViews>
  <sheetFormatPr baseColWidth="10" defaultRowHeight="12.75" outlineLevelRow="2"/>
  <cols>
    <col min="1" max="2" width="7" hidden="1" customWidth="1"/>
    <col min="3" max="3" width="34.5703125" style="163" bestFit="1" customWidth="1"/>
    <col min="4" max="5" width="12.7109375" style="30" customWidth="1"/>
    <col min="6" max="6" width="13.7109375" style="30" customWidth="1"/>
    <col min="7" max="7" width="12.7109375" style="30" customWidth="1"/>
    <col min="8" max="8" width="14.28515625" style="30" customWidth="1"/>
    <col min="9" max="9" width="13.7109375" style="30" customWidth="1"/>
    <col min="10" max="15" width="13.7109375" style="30" bestFit="1" customWidth="1"/>
    <col min="16" max="16" width="15.28515625" style="30" bestFit="1" customWidth="1"/>
    <col min="17" max="17" width="11.42578125" style="30"/>
  </cols>
  <sheetData>
    <row r="1" spans="1:17" ht="15.75">
      <c r="B1" s="341" t="s">
        <v>1130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</row>
    <row r="2" spans="1:17" ht="15.75">
      <c r="B2" s="341" t="s">
        <v>1138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</row>
    <row r="4" spans="1:17" s="229" customFormat="1" ht="15">
      <c r="A4" s="229" t="s">
        <v>620</v>
      </c>
      <c r="B4" s="229" t="s">
        <v>621</v>
      </c>
      <c r="C4" s="230" t="s">
        <v>0</v>
      </c>
      <c r="D4" s="231" t="s">
        <v>622</v>
      </c>
      <c r="E4" s="231" t="s">
        <v>623</v>
      </c>
      <c r="F4" s="231" t="s">
        <v>624</v>
      </c>
      <c r="G4" s="231" t="s">
        <v>625</v>
      </c>
      <c r="H4" s="231" t="s">
        <v>626</v>
      </c>
      <c r="I4" s="231" t="s">
        <v>627</v>
      </c>
      <c r="J4" s="231" t="s">
        <v>628</v>
      </c>
      <c r="K4" s="231" t="s">
        <v>629</v>
      </c>
      <c r="L4" s="231" t="s">
        <v>630</v>
      </c>
      <c r="M4" s="231" t="s">
        <v>631</v>
      </c>
      <c r="N4" s="231" t="s">
        <v>632</v>
      </c>
      <c r="O4" s="231" t="s">
        <v>633</v>
      </c>
      <c r="P4" s="231" t="s">
        <v>634</v>
      </c>
      <c r="Q4" s="232"/>
    </row>
    <row r="5" spans="1:17" outlineLevel="2">
      <c r="A5" t="s">
        <v>635</v>
      </c>
      <c r="B5">
        <v>1</v>
      </c>
      <c r="C5" s="163" t="s">
        <v>636</v>
      </c>
      <c r="D5" s="30">
        <v>15869189</v>
      </c>
      <c r="E5" s="30">
        <v>14507824.74</v>
      </c>
      <c r="F5" s="30">
        <v>15824159</v>
      </c>
      <c r="G5" s="30">
        <v>17414619</v>
      </c>
      <c r="H5" s="30">
        <v>16694168</v>
      </c>
      <c r="I5" s="30">
        <v>16087853</v>
      </c>
      <c r="J5" s="30">
        <v>16667974</v>
      </c>
      <c r="K5" s="30">
        <v>16682436</v>
      </c>
      <c r="L5" s="30">
        <v>16225593</v>
      </c>
      <c r="M5" s="30">
        <v>16733147</v>
      </c>
      <c r="N5" s="30">
        <v>16384767</v>
      </c>
      <c r="O5" s="30">
        <v>17072581</v>
      </c>
      <c r="P5" s="30">
        <f>SUM(D5:O5)</f>
        <v>196164310.74000001</v>
      </c>
    </row>
    <row r="6" spans="1:17" outlineLevel="2">
      <c r="A6" t="s">
        <v>637</v>
      </c>
      <c r="B6">
        <v>1</v>
      </c>
      <c r="C6" s="163" t="s">
        <v>419</v>
      </c>
      <c r="D6" s="30">
        <v>255084</v>
      </c>
      <c r="E6" s="30">
        <v>274654</v>
      </c>
      <c r="F6" s="30">
        <v>334925</v>
      </c>
      <c r="G6" s="30">
        <v>217222</v>
      </c>
      <c r="H6" s="30">
        <v>341178</v>
      </c>
      <c r="I6" s="30">
        <v>218827</v>
      </c>
      <c r="J6" s="30">
        <v>182031</v>
      </c>
      <c r="K6" s="30">
        <v>254275</v>
      </c>
      <c r="L6" s="30">
        <v>234324</v>
      </c>
      <c r="M6" s="30">
        <v>235447</v>
      </c>
      <c r="N6" s="30">
        <v>328536</v>
      </c>
      <c r="O6" s="30">
        <v>140679</v>
      </c>
      <c r="P6" s="30">
        <f t="shared" ref="P6:P69" si="0">SUM(D6:O6)</f>
        <v>3017182</v>
      </c>
    </row>
    <row r="7" spans="1:17" outlineLevel="2">
      <c r="A7" t="s">
        <v>638</v>
      </c>
      <c r="B7">
        <v>1</v>
      </c>
      <c r="C7" s="163" t="s">
        <v>639</v>
      </c>
      <c r="D7" s="30">
        <v>6710</v>
      </c>
      <c r="E7" s="30">
        <v>84898</v>
      </c>
      <c r="F7" s="30">
        <v>737339</v>
      </c>
      <c r="G7" s="30">
        <v>2686</v>
      </c>
      <c r="H7" s="30">
        <v>59186</v>
      </c>
      <c r="I7" s="30">
        <v>45708</v>
      </c>
      <c r="J7" s="30">
        <v>22342</v>
      </c>
      <c r="K7" s="30">
        <v>78657</v>
      </c>
      <c r="L7" s="30">
        <v>0</v>
      </c>
      <c r="M7" s="30">
        <v>0</v>
      </c>
      <c r="N7" s="30">
        <v>0</v>
      </c>
      <c r="O7" s="30">
        <v>85714</v>
      </c>
      <c r="P7" s="30">
        <f t="shared" si="0"/>
        <v>1123240</v>
      </c>
    </row>
    <row r="8" spans="1:17" outlineLevel="2">
      <c r="A8" t="s">
        <v>640</v>
      </c>
      <c r="B8">
        <v>1</v>
      </c>
      <c r="C8" s="163" t="s">
        <v>421</v>
      </c>
      <c r="D8" s="30">
        <v>48722</v>
      </c>
      <c r="E8" s="30">
        <v>14354</v>
      </c>
      <c r="F8" s="30">
        <v>34559</v>
      </c>
      <c r="G8" s="30">
        <v>12935</v>
      </c>
      <c r="H8" s="30">
        <v>68880</v>
      </c>
      <c r="I8" s="30">
        <v>58749</v>
      </c>
      <c r="J8" s="30">
        <v>93804</v>
      </c>
      <c r="K8" s="30">
        <v>90380</v>
      </c>
      <c r="L8" s="30">
        <v>68972</v>
      </c>
      <c r="M8" s="30">
        <v>150003</v>
      </c>
      <c r="N8" s="30">
        <v>73767</v>
      </c>
      <c r="O8" s="30">
        <v>28235572</v>
      </c>
      <c r="P8" s="30">
        <f t="shared" si="0"/>
        <v>28950697</v>
      </c>
    </row>
    <row r="9" spans="1:17" outlineLevel="2">
      <c r="A9" t="s">
        <v>641</v>
      </c>
      <c r="B9">
        <v>1</v>
      </c>
      <c r="C9" s="163" t="s">
        <v>642</v>
      </c>
      <c r="D9" s="30">
        <v>11839</v>
      </c>
      <c r="E9" s="30">
        <v>16212</v>
      </c>
      <c r="F9" s="30">
        <v>36200</v>
      </c>
      <c r="G9" s="30">
        <v>115304</v>
      </c>
      <c r="H9" s="30">
        <v>0</v>
      </c>
      <c r="I9" s="30">
        <v>31768</v>
      </c>
      <c r="J9" s="30">
        <v>91194</v>
      </c>
      <c r="K9" s="30">
        <v>15600</v>
      </c>
      <c r="L9" s="30">
        <v>0</v>
      </c>
      <c r="M9" s="30">
        <v>0</v>
      </c>
      <c r="N9" s="30">
        <v>0</v>
      </c>
      <c r="O9" s="30">
        <v>0</v>
      </c>
      <c r="P9" s="30">
        <f t="shared" si="0"/>
        <v>318117</v>
      </c>
    </row>
    <row r="10" spans="1:17" outlineLevel="2">
      <c r="A10" t="s">
        <v>643</v>
      </c>
      <c r="B10">
        <v>1</v>
      </c>
      <c r="C10" s="163" t="s">
        <v>644</v>
      </c>
      <c r="D10" s="30">
        <v>49513</v>
      </c>
      <c r="E10" s="30">
        <v>42969</v>
      </c>
      <c r="F10" s="30">
        <v>36842</v>
      </c>
      <c r="G10" s="30">
        <v>59007</v>
      </c>
      <c r="H10" s="30">
        <v>37699</v>
      </c>
      <c r="I10" s="30">
        <v>32238</v>
      </c>
      <c r="J10" s="30">
        <v>38561</v>
      </c>
      <c r="K10" s="30">
        <v>56954</v>
      </c>
      <c r="L10" s="30">
        <v>42325</v>
      </c>
      <c r="M10" s="30">
        <v>40365</v>
      </c>
      <c r="N10" s="30">
        <v>43308</v>
      </c>
      <c r="O10" s="30">
        <v>22492</v>
      </c>
      <c r="P10" s="30">
        <f t="shared" si="0"/>
        <v>502273</v>
      </c>
    </row>
    <row r="11" spans="1:17" outlineLevel="2">
      <c r="A11" t="s">
        <v>645</v>
      </c>
      <c r="B11">
        <v>1</v>
      </c>
      <c r="C11" s="163" t="s">
        <v>646</v>
      </c>
      <c r="D11" s="30">
        <v>157597</v>
      </c>
      <c r="E11" s="30">
        <v>146960</v>
      </c>
      <c r="F11" s="30">
        <v>153978</v>
      </c>
      <c r="G11" s="30">
        <v>153450</v>
      </c>
      <c r="H11" s="30">
        <v>154675</v>
      </c>
      <c r="I11" s="30">
        <v>156126</v>
      </c>
      <c r="J11" s="30">
        <v>0</v>
      </c>
      <c r="K11" s="30">
        <v>0</v>
      </c>
      <c r="L11" s="30">
        <v>155070</v>
      </c>
      <c r="M11" s="30">
        <v>159128</v>
      </c>
      <c r="N11" s="30">
        <v>158483</v>
      </c>
      <c r="O11" s="30">
        <v>158483</v>
      </c>
      <c r="P11" s="30">
        <f t="shared" si="0"/>
        <v>1553950</v>
      </c>
    </row>
    <row r="12" spans="1:17" outlineLevel="2">
      <c r="A12" t="s">
        <v>647</v>
      </c>
      <c r="B12">
        <v>1</v>
      </c>
      <c r="C12" s="163" t="s">
        <v>648</v>
      </c>
      <c r="D12" s="30">
        <v>0</v>
      </c>
      <c r="E12" s="30">
        <v>0</v>
      </c>
      <c r="F12" s="30">
        <v>41854</v>
      </c>
      <c r="G12" s="30">
        <v>0</v>
      </c>
      <c r="H12" s="30">
        <v>40459</v>
      </c>
      <c r="I12" s="30">
        <v>0</v>
      </c>
      <c r="J12" s="30">
        <v>39063</v>
      </c>
      <c r="K12" s="30">
        <v>41854</v>
      </c>
      <c r="L12" s="30">
        <v>0</v>
      </c>
      <c r="M12" s="30">
        <v>0</v>
      </c>
      <c r="N12" s="30">
        <v>44643</v>
      </c>
      <c r="O12" s="30">
        <v>0</v>
      </c>
      <c r="P12" s="30">
        <f t="shared" si="0"/>
        <v>207873</v>
      </c>
    </row>
    <row r="13" spans="1:17" outlineLevel="2">
      <c r="A13" t="s">
        <v>649</v>
      </c>
      <c r="B13">
        <v>1</v>
      </c>
      <c r="C13" s="163" t="s">
        <v>650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f t="shared" si="0"/>
        <v>0</v>
      </c>
    </row>
    <row r="14" spans="1:17" outlineLevel="2">
      <c r="A14" t="s">
        <v>651</v>
      </c>
      <c r="B14">
        <v>1</v>
      </c>
      <c r="C14" s="163" t="s">
        <v>652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464000</v>
      </c>
      <c r="L14" s="30">
        <v>0</v>
      </c>
      <c r="M14" s="30">
        <v>0</v>
      </c>
      <c r="N14" s="30">
        <v>0</v>
      </c>
      <c r="O14" s="30">
        <v>0</v>
      </c>
      <c r="P14" s="30">
        <f t="shared" si="0"/>
        <v>464000</v>
      </c>
    </row>
    <row r="15" spans="1:17" outlineLevel="2">
      <c r="A15" t="s">
        <v>653</v>
      </c>
      <c r="B15">
        <v>1</v>
      </c>
      <c r="C15" s="163" t="s">
        <v>420</v>
      </c>
      <c r="D15" s="30">
        <v>116192</v>
      </c>
      <c r="E15" s="30">
        <v>194706</v>
      </c>
      <c r="F15" s="30">
        <v>125506</v>
      </c>
      <c r="G15" s="30">
        <v>2290411</v>
      </c>
      <c r="H15" s="30">
        <v>137351</v>
      </c>
      <c r="I15" s="30">
        <v>85260</v>
      </c>
      <c r="J15" s="30">
        <v>166494</v>
      </c>
      <c r="K15" s="30">
        <v>174781</v>
      </c>
      <c r="L15" s="30">
        <v>139536</v>
      </c>
      <c r="M15" s="30">
        <v>109283</v>
      </c>
      <c r="N15" s="30">
        <v>121432</v>
      </c>
      <c r="O15" s="30">
        <v>2333191</v>
      </c>
      <c r="P15" s="30">
        <f t="shared" si="0"/>
        <v>5994143</v>
      </c>
    </row>
    <row r="16" spans="1:17" outlineLevel="2">
      <c r="A16" t="s">
        <v>654</v>
      </c>
      <c r="B16">
        <v>1</v>
      </c>
      <c r="C16" s="163" t="s">
        <v>655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f t="shared" si="0"/>
        <v>0</v>
      </c>
    </row>
    <row r="17" spans="1:17" outlineLevel="2">
      <c r="A17" t="s">
        <v>656</v>
      </c>
      <c r="B17">
        <v>1</v>
      </c>
      <c r="C17" s="163" t="s">
        <v>657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f t="shared" si="0"/>
        <v>0</v>
      </c>
    </row>
    <row r="18" spans="1:17" outlineLevel="2">
      <c r="A18" t="s">
        <v>658</v>
      </c>
      <c r="B18">
        <v>1</v>
      </c>
      <c r="C18" s="163" t="s">
        <v>659</v>
      </c>
      <c r="D18" s="30">
        <v>6473750.21</v>
      </c>
      <c r="E18" s="30">
        <v>5220257</v>
      </c>
      <c r="F18" s="30">
        <v>6267043.96</v>
      </c>
      <c r="G18" s="30">
        <v>6491618</v>
      </c>
      <c r="H18" s="30">
        <v>6992048.7000000002</v>
      </c>
      <c r="I18" s="30">
        <v>6385268</v>
      </c>
      <c r="J18" s="30">
        <v>7169282.0499999998</v>
      </c>
      <c r="K18" s="30">
        <v>6985421</v>
      </c>
      <c r="L18" s="30">
        <v>7141681.2599999998</v>
      </c>
      <c r="M18" s="30">
        <v>6147753</v>
      </c>
      <c r="N18" s="30">
        <v>6221343.8899999997</v>
      </c>
      <c r="O18" s="30">
        <v>13609131</v>
      </c>
      <c r="P18" s="30">
        <f t="shared" si="0"/>
        <v>85104598.069999993</v>
      </c>
    </row>
    <row r="19" spans="1:17" outlineLevel="2">
      <c r="A19" t="s">
        <v>660</v>
      </c>
      <c r="B19">
        <v>1</v>
      </c>
      <c r="C19" s="163" t="s">
        <v>661</v>
      </c>
      <c r="D19" s="30">
        <v>244342</v>
      </c>
      <c r="E19" s="30">
        <v>208109</v>
      </c>
      <c r="F19" s="30">
        <v>185199</v>
      </c>
      <c r="G19" s="30">
        <v>181736</v>
      </c>
      <c r="H19" s="30">
        <v>179088</v>
      </c>
      <c r="I19" s="30">
        <v>134826</v>
      </c>
      <c r="J19" s="30">
        <v>128759</v>
      </c>
      <c r="K19" s="30">
        <v>226302</v>
      </c>
      <c r="L19" s="30">
        <v>215238</v>
      </c>
      <c r="M19" s="30">
        <v>886542.03</v>
      </c>
      <c r="N19" s="30">
        <v>206433</v>
      </c>
      <c r="O19" s="30">
        <v>-1424574</v>
      </c>
      <c r="P19" s="30">
        <f t="shared" si="0"/>
        <v>1372000.0300000003</v>
      </c>
    </row>
    <row r="20" spans="1:17" outlineLevel="2">
      <c r="A20" t="s">
        <v>662</v>
      </c>
      <c r="B20">
        <v>1</v>
      </c>
      <c r="C20" s="163" t="s">
        <v>663</v>
      </c>
      <c r="D20" s="30">
        <v>213563</v>
      </c>
      <c r="E20" s="30">
        <v>193553</v>
      </c>
      <c r="F20" s="30">
        <v>213143</v>
      </c>
      <c r="G20" s="30">
        <v>259268</v>
      </c>
      <c r="H20" s="30">
        <v>214352</v>
      </c>
      <c r="I20" s="30">
        <v>206962</v>
      </c>
      <c r="J20" s="30">
        <v>213512</v>
      </c>
      <c r="K20" s="30">
        <v>214312</v>
      </c>
      <c r="L20" s="30">
        <v>212507</v>
      </c>
      <c r="M20" s="30">
        <v>214352</v>
      </c>
      <c r="N20" s="30">
        <v>207802</v>
      </c>
      <c r="O20" s="30">
        <v>647040</v>
      </c>
      <c r="P20" s="30">
        <f t="shared" si="0"/>
        <v>3010366</v>
      </c>
    </row>
    <row r="21" spans="1:17" outlineLevel="2">
      <c r="A21" t="s">
        <v>1322</v>
      </c>
      <c r="B21">
        <v>1</v>
      </c>
      <c r="C21" s="163" t="s">
        <v>1323</v>
      </c>
      <c r="D21" s="30">
        <v>0</v>
      </c>
      <c r="E21" s="30">
        <v>0</v>
      </c>
      <c r="F21" s="30">
        <v>0</v>
      </c>
      <c r="G21" s="30">
        <v>0</v>
      </c>
      <c r="H21" s="30">
        <v>818375</v>
      </c>
      <c r="I21" s="30">
        <v>700240</v>
      </c>
      <c r="J21" s="30">
        <v>305032</v>
      </c>
      <c r="K21" s="30">
        <v>303496</v>
      </c>
      <c r="L21" s="30">
        <v>283112</v>
      </c>
      <c r="M21" s="30">
        <v>298946</v>
      </c>
      <c r="N21" s="30">
        <v>282803</v>
      </c>
      <c r="O21" s="30">
        <v>282503</v>
      </c>
      <c r="P21" s="30">
        <f t="shared" si="0"/>
        <v>3274507</v>
      </c>
    </row>
    <row r="22" spans="1:17" s="233" customFormat="1" ht="15" outlineLevel="1">
      <c r="B22" s="234" t="s">
        <v>664</v>
      </c>
      <c r="C22" s="235" t="s">
        <v>418</v>
      </c>
      <c r="D22" s="236">
        <f>SUBTOTAL(9,D5:D21)</f>
        <v>23446501.210000001</v>
      </c>
      <c r="E22" s="236">
        <f>SUBTOTAL(9,E5:E21)</f>
        <v>20904496.740000002</v>
      </c>
      <c r="F22" s="236">
        <f>SUBTOTAL(9,F5:F21)</f>
        <v>23990747.960000001</v>
      </c>
      <c r="G22" s="236">
        <f>SUBTOTAL(9,G5:G21)</f>
        <v>27198256</v>
      </c>
      <c r="H22" s="236">
        <f>SUBTOTAL(9,H5:H21)</f>
        <v>25737459.699999999</v>
      </c>
      <c r="I22" s="236">
        <f t="shared" ref="I22:P22" si="1">SUBTOTAL(9,I5:I20)</f>
        <v>23443585</v>
      </c>
      <c r="J22" s="236">
        <f t="shared" si="1"/>
        <v>24813016.050000001</v>
      </c>
      <c r="K22" s="236">
        <f t="shared" si="1"/>
        <v>25284972</v>
      </c>
      <c r="L22" s="236">
        <f t="shared" si="1"/>
        <v>24435246.259999998</v>
      </c>
      <c r="M22" s="236">
        <f t="shared" si="1"/>
        <v>24676020.030000001</v>
      </c>
      <c r="N22" s="236">
        <f t="shared" si="1"/>
        <v>23790514.890000001</v>
      </c>
      <c r="O22" s="236">
        <f t="shared" si="1"/>
        <v>60880309</v>
      </c>
      <c r="P22" s="236">
        <f t="shared" si="1"/>
        <v>327782749.83999997</v>
      </c>
      <c r="Q22" s="237"/>
    </row>
    <row r="23" spans="1:17" outlineLevel="2">
      <c r="A23" t="s">
        <v>665</v>
      </c>
      <c r="B23">
        <v>2</v>
      </c>
      <c r="C23" s="163" t="s">
        <v>666</v>
      </c>
      <c r="D23" s="30">
        <v>138518.93</v>
      </c>
      <c r="E23" s="30">
        <v>574339.81999999995</v>
      </c>
      <c r="F23" s="30">
        <v>859185.3</v>
      </c>
      <c r="G23" s="30">
        <v>527421.85</v>
      </c>
      <c r="H23" s="30">
        <v>864476.10000000009</v>
      </c>
      <c r="I23" s="30">
        <v>1022671.04</v>
      </c>
      <c r="J23" s="30">
        <v>915493.38</v>
      </c>
      <c r="K23" s="30">
        <v>462876.47</v>
      </c>
      <c r="L23" s="30">
        <v>373488.06</v>
      </c>
      <c r="M23" s="30">
        <v>445981.53</v>
      </c>
      <c r="N23" s="30">
        <v>204755.31</v>
      </c>
      <c r="O23" s="30">
        <v>322243.53999999998</v>
      </c>
      <c r="P23" s="30">
        <f t="shared" si="0"/>
        <v>6711451.3299999991</v>
      </c>
    </row>
    <row r="24" spans="1:17" outlineLevel="2">
      <c r="A24" t="s">
        <v>667</v>
      </c>
      <c r="B24">
        <v>2</v>
      </c>
      <c r="C24" s="163" t="s">
        <v>425</v>
      </c>
      <c r="D24" s="30">
        <v>129471.47</v>
      </c>
      <c r="E24" s="30">
        <v>1118107.67</v>
      </c>
      <c r="F24" s="30">
        <v>1629849.92</v>
      </c>
      <c r="G24" s="30">
        <v>797853</v>
      </c>
      <c r="H24" s="30">
        <v>1257054.1399999999</v>
      </c>
      <c r="I24" s="30">
        <v>1558858.37</v>
      </c>
      <c r="J24" s="30">
        <v>1367671.54</v>
      </c>
      <c r="K24" s="30">
        <v>821923.66</v>
      </c>
      <c r="L24" s="30">
        <v>715067.43</v>
      </c>
      <c r="M24" s="30">
        <v>760021.04</v>
      </c>
      <c r="N24" s="30">
        <v>350349.92</v>
      </c>
      <c r="O24" s="30">
        <v>622310.07999999996</v>
      </c>
      <c r="P24" s="30">
        <f t="shared" si="0"/>
        <v>11128538.239999998</v>
      </c>
    </row>
    <row r="25" spans="1:17" outlineLevel="2">
      <c r="A25" t="s">
        <v>668</v>
      </c>
      <c r="B25">
        <v>2</v>
      </c>
      <c r="C25" s="163" t="s">
        <v>424</v>
      </c>
      <c r="D25" s="30">
        <v>1115276.1000000001</v>
      </c>
      <c r="E25" s="30">
        <v>1012697.71</v>
      </c>
      <c r="F25" s="30">
        <v>1071901.54</v>
      </c>
      <c r="G25" s="30">
        <v>728941.97</v>
      </c>
      <c r="H25" s="30">
        <v>1167791.29</v>
      </c>
      <c r="I25" s="30">
        <v>997224.87</v>
      </c>
      <c r="J25" s="30">
        <v>1220852.51</v>
      </c>
      <c r="K25" s="30">
        <v>1307774.3799999999</v>
      </c>
      <c r="L25" s="30">
        <v>1190466.25</v>
      </c>
      <c r="M25" s="30">
        <v>856085.38</v>
      </c>
      <c r="N25" s="30">
        <v>989901.88</v>
      </c>
      <c r="O25" s="30">
        <v>1415431.55</v>
      </c>
      <c r="P25" s="30">
        <f t="shared" si="0"/>
        <v>13074345.430000003</v>
      </c>
    </row>
    <row r="26" spans="1:17" outlineLevel="2">
      <c r="A26" t="s">
        <v>669</v>
      </c>
      <c r="B26">
        <v>2</v>
      </c>
      <c r="C26" s="163" t="s">
        <v>670</v>
      </c>
      <c r="D26" s="30">
        <v>144267.32</v>
      </c>
      <c r="E26" s="30">
        <v>513304.8</v>
      </c>
      <c r="F26" s="30">
        <v>649004.76</v>
      </c>
      <c r="G26" s="30">
        <v>433455.09</v>
      </c>
      <c r="H26" s="30">
        <v>512203.79000000004</v>
      </c>
      <c r="I26" s="30">
        <v>572931.96</v>
      </c>
      <c r="J26" s="30">
        <v>639751.01</v>
      </c>
      <c r="K26" s="30">
        <v>362350.15</v>
      </c>
      <c r="L26" s="30">
        <v>444553.12</v>
      </c>
      <c r="M26" s="30">
        <v>421795.87</v>
      </c>
      <c r="N26" s="30">
        <v>266532.47999999998</v>
      </c>
      <c r="O26" s="30">
        <v>194415.68</v>
      </c>
      <c r="P26" s="30">
        <f t="shared" si="0"/>
        <v>5154566.0299999993</v>
      </c>
    </row>
    <row r="27" spans="1:17" outlineLevel="2">
      <c r="A27" t="s">
        <v>671</v>
      </c>
      <c r="B27">
        <v>2</v>
      </c>
      <c r="C27" s="163" t="s">
        <v>672</v>
      </c>
      <c r="D27" s="30">
        <v>112140.53</v>
      </c>
      <c r="E27" s="30">
        <v>511624.74</v>
      </c>
      <c r="F27" s="30">
        <v>472203.92</v>
      </c>
      <c r="G27" s="30">
        <v>422198.05</v>
      </c>
      <c r="H27" s="30">
        <v>473806.86</v>
      </c>
      <c r="I27" s="30">
        <v>386319.51</v>
      </c>
      <c r="J27" s="30">
        <v>471027.16</v>
      </c>
      <c r="K27" s="30">
        <v>241672.68</v>
      </c>
      <c r="L27" s="30">
        <v>413316.58</v>
      </c>
      <c r="M27" s="30">
        <v>183656.51</v>
      </c>
      <c r="N27" s="30">
        <v>206673.69</v>
      </c>
      <c r="O27" s="30">
        <v>200543.32</v>
      </c>
      <c r="P27" s="30">
        <f t="shared" si="0"/>
        <v>4095183.5500000007</v>
      </c>
    </row>
    <row r="28" spans="1:17" outlineLevel="2">
      <c r="A28" t="s">
        <v>673</v>
      </c>
      <c r="B28">
        <v>2</v>
      </c>
      <c r="C28" s="163" t="s">
        <v>674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f t="shared" si="0"/>
        <v>0</v>
      </c>
    </row>
    <row r="29" spans="1:17" outlineLevel="2">
      <c r="A29" t="s">
        <v>675</v>
      </c>
      <c r="B29">
        <v>2</v>
      </c>
      <c r="C29" s="163" t="s">
        <v>676</v>
      </c>
      <c r="D29" s="30">
        <v>33493.440000000002</v>
      </c>
      <c r="E29" s="30">
        <v>189746.25</v>
      </c>
      <c r="F29" s="30">
        <v>152778.78</v>
      </c>
      <c r="G29" s="30">
        <v>85053.46</v>
      </c>
      <c r="H29" s="30">
        <v>259849.72</v>
      </c>
      <c r="I29" s="30">
        <v>221012.74</v>
      </c>
      <c r="J29" s="30">
        <v>137419.47</v>
      </c>
      <c r="K29" s="30">
        <v>151332.51999999999</v>
      </c>
      <c r="L29" s="30">
        <v>45606.53</v>
      </c>
      <c r="M29" s="30">
        <v>119277.82</v>
      </c>
      <c r="N29" s="30">
        <v>82546.710000000006</v>
      </c>
      <c r="O29" s="30">
        <v>233419.17</v>
      </c>
      <c r="P29" s="30">
        <f t="shared" si="0"/>
        <v>1711536.61</v>
      </c>
    </row>
    <row r="30" spans="1:17" outlineLevel="2">
      <c r="A30" t="s">
        <v>677</v>
      </c>
      <c r="B30">
        <v>2</v>
      </c>
      <c r="C30" s="163" t="s">
        <v>678</v>
      </c>
      <c r="D30" s="30">
        <v>15104</v>
      </c>
      <c r="E30" s="30">
        <v>10797</v>
      </c>
      <c r="F30" s="30">
        <v>37002</v>
      </c>
      <c r="G30" s="30">
        <v>28074</v>
      </c>
      <c r="H30" s="30">
        <v>12226</v>
      </c>
      <c r="I30" s="30">
        <v>22965</v>
      </c>
      <c r="J30" s="30">
        <v>13665</v>
      </c>
      <c r="K30" s="30">
        <v>0</v>
      </c>
      <c r="L30" s="30">
        <v>29859</v>
      </c>
      <c r="M30" s="30">
        <v>7192</v>
      </c>
      <c r="N30" s="30">
        <v>10069</v>
      </c>
      <c r="O30" s="30">
        <v>0</v>
      </c>
      <c r="P30" s="30">
        <f t="shared" si="0"/>
        <v>186953</v>
      </c>
    </row>
    <row r="31" spans="1:17" outlineLevel="2">
      <c r="A31" t="s">
        <v>679</v>
      </c>
      <c r="B31">
        <v>2</v>
      </c>
      <c r="C31" s="163" t="s">
        <v>680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f t="shared" si="0"/>
        <v>0</v>
      </c>
    </row>
    <row r="32" spans="1:17" outlineLevel="2">
      <c r="A32" t="s">
        <v>681</v>
      </c>
      <c r="B32">
        <v>2</v>
      </c>
      <c r="C32" s="163" t="s">
        <v>362</v>
      </c>
      <c r="D32" s="30">
        <v>372285.01</v>
      </c>
      <c r="E32" s="30">
        <v>19294.97</v>
      </c>
      <c r="F32" s="30">
        <v>446005.34</v>
      </c>
      <c r="G32" s="30">
        <v>417228</v>
      </c>
      <c r="H32" s="30">
        <v>104174.9</v>
      </c>
      <c r="I32" s="30">
        <v>499359.68</v>
      </c>
      <c r="J32" s="30">
        <v>98175.6</v>
      </c>
      <c r="K32" s="30">
        <v>9546.2099999999991</v>
      </c>
      <c r="L32" s="30">
        <v>10630.27</v>
      </c>
      <c r="M32" s="30">
        <v>360676.83</v>
      </c>
      <c r="N32" s="30">
        <v>13833.64</v>
      </c>
      <c r="O32" s="30">
        <v>23196.639999999999</v>
      </c>
      <c r="P32" s="30">
        <f t="shared" si="0"/>
        <v>2374407.0900000003</v>
      </c>
    </row>
    <row r="33" spans="1:17" outlineLevel="2">
      <c r="A33" t="s">
        <v>682</v>
      </c>
      <c r="B33">
        <v>2</v>
      </c>
      <c r="C33" s="163" t="s">
        <v>683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100000</v>
      </c>
      <c r="J33" s="30">
        <v>194700</v>
      </c>
      <c r="K33" s="30">
        <v>130600</v>
      </c>
      <c r="L33" s="30">
        <v>-150000</v>
      </c>
      <c r="M33" s="30">
        <v>39500</v>
      </c>
      <c r="N33" s="30">
        <v>0</v>
      </c>
      <c r="O33" s="30">
        <v>0</v>
      </c>
      <c r="P33" s="30">
        <f t="shared" si="0"/>
        <v>314800</v>
      </c>
    </row>
    <row r="34" spans="1:17" outlineLevel="2">
      <c r="A34" t="s">
        <v>684</v>
      </c>
      <c r="B34">
        <v>2</v>
      </c>
      <c r="C34" s="163" t="s">
        <v>685</v>
      </c>
      <c r="D34" s="30">
        <v>50797</v>
      </c>
      <c r="E34" s="30">
        <v>78777</v>
      </c>
      <c r="F34" s="30">
        <v>100104</v>
      </c>
      <c r="G34" s="30">
        <v>230850</v>
      </c>
      <c r="H34" s="30">
        <v>167897</v>
      </c>
      <c r="I34" s="30">
        <v>82672</v>
      </c>
      <c r="J34" s="30">
        <v>215202</v>
      </c>
      <c r="K34" s="30">
        <v>94142</v>
      </c>
      <c r="L34" s="30">
        <v>44074</v>
      </c>
      <c r="M34" s="30">
        <v>51252</v>
      </c>
      <c r="N34" s="30">
        <v>48962</v>
      </c>
      <c r="O34" s="30">
        <v>158457.5</v>
      </c>
      <c r="P34" s="30">
        <f t="shared" si="0"/>
        <v>1323186.5</v>
      </c>
    </row>
    <row r="35" spans="1:17" outlineLevel="2">
      <c r="A35" t="s">
        <v>686</v>
      </c>
      <c r="B35">
        <v>2</v>
      </c>
      <c r="C35" s="163" t="s">
        <v>687</v>
      </c>
      <c r="D35" s="30">
        <v>28734</v>
      </c>
      <c r="E35" s="30">
        <v>51916</v>
      </c>
      <c r="F35" s="30">
        <v>870</v>
      </c>
      <c r="G35" s="30">
        <v>6900</v>
      </c>
      <c r="H35" s="30">
        <v>0</v>
      </c>
      <c r="I35" s="30">
        <v>0</v>
      </c>
      <c r="J35" s="30">
        <v>8700</v>
      </c>
      <c r="K35" s="30">
        <v>37842</v>
      </c>
      <c r="L35" s="30">
        <v>0</v>
      </c>
      <c r="M35" s="30">
        <v>3283.02</v>
      </c>
      <c r="N35" s="30">
        <v>0</v>
      </c>
      <c r="O35" s="30">
        <v>0</v>
      </c>
      <c r="P35" s="30">
        <f t="shared" si="0"/>
        <v>138245.01999999999</v>
      </c>
    </row>
    <row r="36" spans="1:17" outlineLevel="2">
      <c r="A36" t="s">
        <v>688</v>
      </c>
      <c r="B36">
        <v>2</v>
      </c>
      <c r="C36" s="163" t="s">
        <v>689</v>
      </c>
      <c r="D36" s="30">
        <v>1985750</v>
      </c>
      <c r="E36" s="30">
        <v>1559250</v>
      </c>
      <c r="F36" s="30">
        <v>1710350</v>
      </c>
      <c r="G36" s="30">
        <v>1864850</v>
      </c>
      <c r="H36" s="30">
        <v>1614750</v>
      </c>
      <c r="I36" s="30">
        <v>1560100</v>
      </c>
      <c r="J36" s="30">
        <v>1984850</v>
      </c>
      <c r="K36" s="30">
        <v>1576050</v>
      </c>
      <c r="L36" s="30">
        <v>1548450</v>
      </c>
      <c r="M36" s="30">
        <v>1526400</v>
      </c>
      <c r="N36" s="30">
        <v>1508750</v>
      </c>
      <c r="O36" s="30">
        <v>1814750</v>
      </c>
      <c r="P36" s="30">
        <f t="shared" si="0"/>
        <v>20254300</v>
      </c>
    </row>
    <row r="37" spans="1:17" outlineLevel="2">
      <c r="A37" t="s">
        <v>690</v>
      </c>
      <c r="B37">
        <v>2</v>
      </c>
      <c r="C37" s="163" t="s">
        <v>691</v>
      </c>
      <c r="D37" s="30">
        <v>413151</v>
      </c>
      <c r="E37" s="30">
        <v>361766</v>
      </c>
      <c r="F37" s="30">
        <v>434490</v>
      </c>
      <c r="G37" s="30">
        <v>563000</v>
      </c>
      <c r="H37" s="30">
        <v>-266055</v>
      </c>
      <c r="I37" s="30">
        <v>-208129</v>
      </c>
      <c r="J37" s="30">
        <v>251635</v>
      </c>
      <c r="K37" s="30">
        <v>260297</v>
      </c>
      <c r="L37" s="30">
        <v>225875</v>
      </c>
      <c r="M37" s="30">
        <v>229689</v>
      </c>
      <c r="N37" s="30">
        <v>231529</v>
      </c>
      <c r="O37" s="30">
        <v>1351357</v>
      </c>
      <c r="P37" s="30">
        <f t="shared" si="0"/>
        <v>3848605</v>
      </c>
    </row>
    <row r="38" spans="1:17" outlineLevel="2">
      <c r="A38" t="s">
        <v>692</v>
      </c>
      <c r="B38">
        <v>2</v>
      </c>
      <c r="C38" s="163" t="s">
        <v>693</v>
      </c>
      <c r="D38" s="30">
        <v>0</v>
      </c>
      <c r="E38" s="30">
        <v>433284.54</v>
      </c>
      <c r="F38" s="30">
        <v>0</v>
      </c>
      <c r="G38" s="30">
        <v>0</v>
      </c>
      <c r="H38" s="30">
        <v>0</v>
      </c>
      <c r="I38" s="30">
        <v>272874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f t="shared" si="0"/>
        <v>706158.54</v>
      </c>
    </row>
    <row r="39" spans="1:17" outlineLevel="2">
      <c r="A39" t="s">
        <v>694</v>
      </c>
      <c r="B39">
        <v>2</v>
      </c>
      <c r="C39" s="163" t="s">
        <v>695</v>
      </c>
      <c r="D39" s="30">
        <v>10698.57</v>
      </c>
      <c r="E39" s="30">
        <v>17456.849999999999</v>
      </c>
      <c r="F39" s="30">
        <v>18027.86</v>
      </c>
      <c r="G39" s="30">
        <v>8149.09</v>
      </c>
      <c r="H39" s="30">
        <v>8796.85</v>
      </c>
      <c r="I39" s="30">
        <v>10633.34</v>
      </c>
      <c r="J39" s="30">
        <v>13443.22</v>
      </c>
      <c r="K39" s="30">
        <v>2867.67</v>
      </c>
      <c r="L39" s="30">
        <v>4531.24</v>
      </c>
      <c r="M39" s="30">
        <v>3956.09</v>
      </c>
      <c r="N39" s="30">
        <v>4792.29</v>
      </c>
      <c r="O39" s="30">
        <v>7123.19</v>
      </c>
      <c r="P39" s="30">
        <f t="shared" si="0"/>
        <v>110476.26</v>
      </c>
    </row>
    <row r="40" spans="1:17" outlineLevel="2">
      <c r="A40" t="s">
        <v>696</v>
      </c>
      <c r="B40">
        <v>2</v>
      </c>
      <c r="C40" s="163" t="s">
        <v>697</v>
      </c>
      <c r="D40" s="30">
        <v>17600</v>
      </c>
      <c r="E40" s="30">
        <v>18006.169999999998</v>
      </c>
      <c r="F40" s="30">
        <v>23550</v>
      </c>
      <c r="G40" s="30">
        <v>18250</v>
      </c>
      <c r="H40" s="30">
        <v>17350</v>
      </c>
      <c r="I40" s="30">
        <v>17861</v>
      </c>
      <c r="J40" s="30">
        <v>21750</v>
      </c>
      <c r="K40" s="30">
        <v>18350</v>
      </c>
      <c r="L40" s="30">
        <v>17350</v>
      </c>
      <c r="M40" s="30">
        <v>17350</v>
      </c>
      <c r="N40" s="30">
        <v>17350</v>
      </c>
      <c r="O40" s="30">
        <v>17850</v>
      </c>
      <c r="P40" s="30">
        <f t="shared" si="0"/>
        <v>222617.16999999998</v>
      </c>
    </row>
    <row r="41" spans="1:17" outlineLevel="2">
      <c r="A41" t="s">
        <v>698</v>
      </c>
      <c r="B41">
        <v>2</v>
      </c>
      <c r="C41" s="163" t="s">
        <v>699</v>
      </c>
      <c r="D41" s="30">
        <v>0</v>
      </c>
      <c r="E41" s="30">
        <v>885776</v>
      </c>
      <c r="F41" s="30">
        <v>194880</v>
      </c>
      <c r="G41" s="30">
        <v>823548.46000000008</v>
      </c>
      <c r="H41" s="30">
        <v>886437.13</v>
      </c>
      <c r="I41" s="30">
        <v>397694.4</v>
      </c>
      <c r="J41" s="30">
        <v>1932478.73</v>
      </c>
      <c r="K41" s="30">
        <v>93960</v>
      </c>
      <c r="L41" s="30">
        <v>187920</v>
      </c>
      <c r="M41" s="30">
        <v>2317100</v>
      </c>
      <c r="N41" s="30">
        <v>971349.13</v>
      </c>
      <c r="O41" s="30">
        <v>1142832</v>
      </c>
      <c r="P41" s="30">
        <f t="shared" si="0"/>
        <v>9833975.8499999996</v>
      </c>
    </row>
    <row r="42" spans="1:17" outlineLevel="2">
      <c r="A42" t="s">
        <v>700</v>
      </c>
      <c r="B42">
        <v>2</v>
      </c>
      <c r="C42" s="163" t="s">
        <v>701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42000</v>
      </c>
      <c r="J42" s="30">
        <v>108500</v>
      </c>
      <c r="K42" s="30">
        <v>0</v>
      </c>
      <c r="L42" s="30">
        <v>3500</v>
      </c>
      <c r="M42" s="30">
        <v>0</v>
      </c>
      <c r="N42" s="30">
        <v>57200</v>
      </c>
      <c r="O42" s="30">
        <v>152500</v>
      </c>
      <c r="P42" s="30">
        <f t="shared" si="0"/>
        <v>363700</v>
      </c>
    </row>
    <row r="43" spans="1:17" s="233" customFormat="1" ht="15" outlineLevel="1">
      <c r="B43" s="233" t="s">
        <v>702</v>
      </c>
      <c r="C43" s="235" t="s">
        <v>422</v>
      </c>
      <c r="D43" s="236">
        <f t="shared" ref="D43:P43" si="2">SUBTOTAL(9,D23:D42)</f>
        <v>4567287.37</v>
      </c>
      <c r="E43" s="236">
        <f t="shared" si="2"/>
        <v>7356145.5199999986</v>
      </c>
      <c r="F43" s="236">
        <f t="shared" si="2"/>
        <v>7800203.4199999999</v>
      </c>
      <c r="G43" s="236">
        <f t="shared" si="2"/>
        <v>6955772.9699999997</v>
      </c>
      <c r="H43" s="236">
        <f t="shared" si="2"/>
        <v>7080758.7800000003</v>
      </c>
      <c r="I43" s="236">
        <f t="shared" si="2"/>
        <v>7557048.9100000001</v>
      </c>
      <c r="J43" s="236">
        <f t="shared" si="2"/>
        <v>9595314.6199999992</v>
      </c>
      <c r="K43" s="236">
        <f t="shared" si="2"/>
        <v>5571584.7400000002</v>
      </c>
      <c r="L43" s="236">
        <f t="shared" si="2"/>
        <v>5104687.4800000004</v>
      </c>
      <c r="M43" s="236">
        <f t="shared" si="2"/>
        <v>7343217.0899999999</v>
      </c>
      <c r="N43" s="236">
        <f t="shared" si="2"/>
        <v>4964595.05</v>
      </c>
      <c r="O43" s="236">
        <f t="shared" si="2"/>
        <v>7656429.6700000009</v>
      </c>
      <c r="P43" s="236">
        <f t="shared" si="2"/>
        <v>81553045.62000002</v>
      </c>
      <c r="Q43" s="237"/>
    </row>
    <row r="44" spans="1:17" outlineLevel="2">
      <c r="A44" t="s">
        <v>703</v>
      </c>
      <c r="B44">
        <v>3</v>
      </c>
      <c r="C44" s="163" t="s">
        <v>704</v>
      </c>
      <c r="D44" s="30">
        <v>9171.7800000000007</v>
      </c>
      <c r="E44" s="30">
        <v>785083.55</v>
      </c>
      <c r="F44" s="30">
        <v>88138.72</v>
      </c>
      <c r="G44" s="30">
        <v>0</v>
      </c>
      <c r="H44" s="30">
        <v>41626.29</v>
      </c>
      <c r="I44" s="30">
        <v>42211.4</v>
      </c>
      <c r="J44" s="30">
        <v>706070</v>
      </c>
      <c r="K44" s="30">
        <v>5703.37</v>
      </c>
      <c r="L44" s="30">
        <v>106519.98</v>
      </c>
      <c r="M44" s="30">
        <v>346766.17</v>
      </c>
      <c r="N44" s="30">
        <v>12712.13</v>
      </c>
      <c r="O44" s="30">
        <v>20974.12</v>
      </c>
      <c r="P44" s="30">
        <f t="shared" si="0"/>
        <v>2164977.5100000002</v>
      </c>
    </row>
    <row r="45" spans="1:17" outlineLevel="2">
      <c r="A45" t="s">
        <v>705</v>
      </c>
      <c r="B45">
        <v>3</v>
      </c>
      <c r="C45" s="163" t="s">
        <v>706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f t="shared" si="0"/>
        <v>0</v>
      </c>
    </row>
    <row r="46" spans="1:17" outlineLevel="2">
      <c r="A46" t="s">
        <v>707</v>
      </c>
      <c r="B46">
        <v>3</v>
      </c>
      <c r="C46" s="163" t="s">
        <v>708</v>
      </c>
      <c r="D46" s="30">
        <v>21936.82</v>
      </c>
      <c r="E46" s="30">
        <v>21936.82</v>
      </c>
      <c r="F46" s="30">
        <v>21936.82</v>
      </c>
      <c r="G46" s="30">
        <v>21936.82</v>
      </c>
      <c r="H46" s="30">
        <v>21936.82</v>
      </c>
      <c r="I46" s="30">
        <v>21936.82</v>
      </c>
      <c r="J46" s="30">
        <v>21936.82</v>
      </c>
      <c r="K46" s="30">
        <v>21936.82</v>
      </c>
      <c r="L46" s="30">
        <v>21936.82</v>
      </c>
      <c r="M46" s="30">
        <v>32484.639999999999</v>
      </c>
      <c r="N46" s="30">
        <v>21936.82</v>
      </c>
      <c r="O46" s="30">
        <v>21936.82</v>
      </c>
      <c r="P46" s="30">
        <f t="shared" si="0"/>
        <v>273789.66000000003</v>
      </c>
    </row>
    <row r="47" spans="1:17" outlineLevel="2">
      <c r="A47" t="s">
        <v>709</v>
      </c>
      <c r="B47">
        <v>3</v>
      </c>
      <c r="C47" s="163" t="s">
        <v>710</v>
      </c>
      <c r="D47" s="30">
        <v>882962.9</v>
      </c>
      <c r="E47" s="30">
        <v>1458944.01</v>
      </c>
      <c r="F47" s="30">
        <v>1447504.72</v>
      </c>
      <c r="G47" s="30">
        <v>411462.98</v>
      </c>
      <c r="H47" s="30">
        <v>1238530.1000000001</v>
      </c>
      <c r="I47" s="30">
        <v>730426.36</v>
      </c>
      <c r="J47" s="30">
        <v>480507.32</v>
      </c>
      <c r="K47" s="30">
        <v>948704.75</v>
      </c>
      <c r="L47" s="30">
        <v>366814.48</v>
      </c>
      <c r="M47" s="30">
        <v>721890.36</v>
      </c>
      <c r="N47" s="30">
        <v>365537.23</v>
      </c>
      <c r="O47" s="30">
        <v>357776.46</v>
      </c>
      <c r="P47" s="30">
        <f t="shared" si="0"/>
        <v>9411061.6699999999</v>
      </c>
    </row>
    <row r="48" spans="1:17" outlineLevel="2">
      <c r="A48" t="s">
        <v>711</v>
      </c>
      <c r="B48">
        <v>3</v>
      </c>
      <c r="C48" s="163" t="s">
        <v>712</v>
      </c>
      <c r="D48" s="30">
        <v>0</v>
      </c>
      <c r="E48" s="30">
        <v>132304.95999999999</v>
      </c>
      <c r="F48" s="30">
        <v>84211.29</v>
      </c>
      <c r="G48" s="30">
        <v>109638.49</v>
      </c>
      <c r="H48" s="30">
        <v>176493.38</v>
      </c>
      <c r="I48" s="30">
        <v>175968.53</v>
      </c>
      <c r="J48" s="30">
        <v>86928.88</v>
      </c>
      <c r="K48" s="30">
        <v>140804.93</v>
      </c>
      <c r="L48" s="30">
        <v>295571.68</v>
      </c>
      <c r="M48" s="30">
        <v>71498.720000000001</v>
      </c>
      <c r="N48" s="30">
        <v>83180.66</v>
      </c>
      <c r="O48" s="30">
        <v>0</v>
      </c>
      <c r="P48" s="30">
        <f t="shared" si="0"/>
        <v>1356601.5199999998</v>
      </c>
    </row>
    <row r="49" spans="1:16" outlineLevel="2">
      <c r="A49" t="s">
        <v>1176</v>
      </c>
      <c r="B49">
        <v>3</v>
      </c>
      <c r="C49" s="287" t="s">
        <v>1177</v>
      </c>
      <c r="F49" s="30">
        <v>1392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f t="shared" si="0"/>
        <v>1392</v>
      </c>
    </row>
    <row r="50" spans="1:16" outlineLevel="2">
      <c r="A50" t="s">
        <v>713</v>
      </c>
      <c r="B50">
        <v>3</v>
      </c>
      <c r="C50" s="163" t="s">
        <v>714</v>
      </c>
      <c r="D50" s="30">
        <v>47034.64</v>
      </c>
      <c r="E50" s="30">
        <v>84917.2</v>
      </c>
      <c r="F50" s="30">
        <v>56446.229999999996</v>
      </c>
      <c r="G50" s="30">
        <v>49620.800000000003</v>
      </c>
      <c r="H50" s="30">
        <v>64650</v>
      </c>
      <c r="I50" s="30">
        <v>80184</v>
      </c>
      <c r="J50" s="30">
        <v>17400</v>
      </c>
      <c r="K50" s="30">
        <v>12800</v>
      </c>
      <c r="L50" s="30">
        <v>132897.20000000001</v>
      </c>
      <c r="M50" s="30">
        <v>18020.080000000002</v>
      </c>
      <c r="N50" s="30">
        <v>30800.01</v>
      </c>
      <c r="O50" s="30">
        <v>193968</v>
      </c>
      <c r="P50" s="30">
        <f t="shared" si="0"/>
        <v>788738.16</v>
      </c>
    </row>
    <row r="51" spans="1:16" outlineLevel="2">
      <c r="A51" t="s">
        <v>715</v>
      </c>
      <c r="B51">
        <v>3</v>
      </c>
      <c r="C51" s="163" t="s">
        <v>716</v>
      </c>
      <c r="D51" s="30">
        <v>4572.43</v>
      </c>
      <c r="E51" s="30">
        <v>12711.88</v>
      </c>
      <c r="F51" s="30">
        <v>5456.63</v>
      </c>
      <c r="G51" s="30">
        <v>13986.65</v>
      </c>
      <c r="H51" s="30">
        <v>5359.11</v>
      </c>
      <c r="I51" s="30">
        <v>9215.25</v>
      </c>
      <c r="J51" s="30">
        <v>4516.87</v>
      </c>
      <c r="K51" s="30">
        <v>10178.69</v>
      </c>
      <c r="L51" s="30">
        <v>6182.71</v>
      </c>
      <c r="M51" s="30">
        <v>20378.169999999998</v>
      </c>
      <c r="N51" s="30">
        <v>3987.97</v>
      </c>
      <c r="O51" s="30">
        <v>10529.75</v>
      </c>
      <c r="P51" s="30">
        <f t="shared" si="0"/>
        <v>107076.11</v>
      </c>
    </row>
    <row r="52" spans="1:16" outlineLevel="2">
      <c r="A52" t="s">
        <v>717</v>
      </c>
      <c r="B52">
        <v>3</v>
      </c>
      <c r="C52" s="163" t="s">
        <v>103</v>
      </c>
      <c r="D52" s="30">
        <v>6000784.8399999999</v>
      </c>
      <c r="E52" s="30">
        <v>6102720.1900000004</v>
      </c>
      <c r="F52" s="30">
        <v>5788834.3799999999</v>
      </c>
      <c r="G52" s="30">
        <v>5241248.95</v>
      </c>
      <c r="H52" s="30">
        <v>5719311.9500000002</v>
      </c>
      <c r="I52" s="30">
        <v>5615166.2000000002</v>
      </c>
      <c r="J52" s="30">
        <v>5536992.46</v>
      </c>
      <c r="K52" s="30">
        <v>4952344.59</v>
      </c>
      <c r="L52" s="30">
        <v>4998825.93</v>
      </c>
      <c r="M52" s="30">
        <v>6564878.5999999996</v>
      </c>
      <c r="N52" s="30">
        <v>6716077.6299999999</v>
      </c>
      <c r="O52" s="30">
        <v>5526298.75</v>
      </c>
      <c r="P52" s="30">
        <f t="shared" si="0"/>
        <v>68763484.469999999</v>
      </c>
    </row>
    <row r="53" spans="1:16" outlineLevel="2">
      <c r="A53" t="s">
        <v>718</v>
      </c>
      <c r="B53">
        <v>3</v>
      </c>
      <c r="C53" s="163" t="s">
        <v>719</v>
      </c>
      <c r="D53" s="30">
        <v>185496</v>
      </c>
      <c r="E53" s="30">
        <v>178772</v>
      </c>
      <c r="F53" s="30">
        <v>190264</v>
      </c>
      <c r="G53" s="30">
        <v>2606</v>
      </c>
      <c r="H53" s="30">
        <v>533599</v>
      </c>
      <c r="I53" s="30">
        <v>367964</v>
      </c>
      <c r="J53" s="30">
        <v>370302</v>
      </c>
      <c r="K53" s="30">
        <v>348271.97</v>
      </c>
      <c r="L53" s="30">
        <v>6940</v>
      </c>
      <c r="M53" s="30">
        <v>372646</v>
      </c>
      <c r="N53" s="30">
        <v>328472</v>
      </c>
      <c r="O53" s="30">
        <v>295539</v>
      </c>
      <c r="P53" s="30">
        <f t="shared" si="0"/>
        <v>3180871.9699999997</v>
      </c>
    </row>
    <row r="54" spans="1:16" outlineLevel="2">
      <c r="A54" t="s">
        <v>720</v>
      </c>
      <c r="B54">
        <v>3</v>
      </c>
      <c r="C54" s="163" t="s">
        <v>721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f t="shared" si="0"/>
        <v>0</v>
      </c>
    </row>
    <row r="55" spans="1:16" outlineLevel="2">
      <c r="A55" t="s">
        <v>722</v>
      </c>
      <c r="B55">
        <v>3</v>
      </c>
      <c r="C55" s="163" t="s">
        <v>723</v>
      </c>
      <c r="D55" s="30">
        <v>0</v>
      </c>
      <c r="E55" s="30">
        <v>0</v>
      </c>
      <c r="F55" s="30">
        <v>115801.99</v>
      </c>
      <c r="G55" s="30">
        <v>140893.99</v>
      </c>
      <c r="H55" s="30">
        <v>135966</v>
      </c>
      <c r="I55" s="30">
        <v>163791</v>
      </c>
      <c r="J55" s="30">
        <v>176297</v>
      </c>
      <c r="K55" s="30">
        <v>174776.01</v>
      </c>
      <c r="L55" s="30">
        <v>182007</v>
      </c>
      <c r="M55" s="30">
        <v>168442</v>
      </c>
      <c r="N55" s="30">
        <v>124313</v>
      </c>
      <c r="O55" s="30">
        <v>109303</v>
      </c>
      <c r="P55" s="30">
        <f t="shared" si="0"/>
        <v>1491590.99</v>
      </c>
    </row>
    <row r="56" spans="1:16" outlineLevel="2">
      <c r="A56" t="s">
        <v>724</v>
      </c>
      <c r="B56">
        <v>3</v>
      </c>
      <c r="C56" s="163" t="s">
        <v>725</v>
      </c>
      <c r="D56" s="30">
        <v>248193.08</v>
      </c>
      <c r="E56" s="30">
        <v>369519.53</v>
      </c>
      <c r="F56" s="30">
        <v>201780.32</v>
      </c>
      <c r="G56" s="30">
        <v>162141.71</v>
      </c>
      <c r="H56" s="30">
        <v>238938.55</v>
      </c>
      <c r="I56" s="30">
        <v>168922.80000000002</v>
      </c>
      <c r="J56" s="30">
        <v>173150.18</v>
      </c>
      <c r="K56" s="30">
        <v>231490.15999999997</v>
      </c>
      <c r="L56" s="30">
        <v>279006.21999999997</v>
      </c>
      <c r="M56" s="30">
        <v>229343.15</v>
      </c>
      <c r="N56" s="30">
        <v>224862.31</v>
      </c>
      <c r="O56" s="30">
        <v>208405.63</v>
      </c>
      <c r="P56" s="30">
        <f t="shared" si="0"/>
        <v>2735753.6399999997</v>
      </c>
    </row>
    <row r="57" spans="1:16" outlineLevel="2">
      <c r="A57" t="s">
        <v>726</v>
      </c>
      <c r="B57">
        <v>3</v>
      </c>
      <c r="C57" s="163" t="s">
        <v>727</v>
      </c>
      <c r="D57" s="30">
        <v>104783.03</v>
      </c>
      <c r="E57" s="30">
        <v>78420.45</v>
      </c>
      <c r="F57" s="30">
        <v>72888.81</v>
      </c>
      <c r="G57" s="30">
        <v>28456.560000000001</v>
      </c>
      <c r="H57" s="30">
        <v>67079.700000000012</v>
      </c>
      <c r="I57" s="30">
        <v>103766.79</v>
      </c>
      <c r="J57" s="30">
        <v>79221.62</v>
      </c>
      <c r="K57" s="30">
        <v>85714.51</v>
      </c>
      <c r="L57" s="30">
        <v>87057.2</v>
      </c>
      <c r="M57" s="30">
        <v>55625.86</v>
      </c>
      <c r="N57" s="30">
        <v>83510.649999999994</v>
      </c>
      <c r="O57" s="30">
        <v>23577.74</v>
      </c>
      <c r="P57" s="30">
        <f t="shared" si="0"/>
        <v>870102.91999999993</v>
      </c>
    </row>
    <row r="58" spans="1:16" outlineLevel="2">
      <c r="A58" t="s">
        <v>728</v>
      </c>
      <c r="B58">
        <v>3</v>
      </c>
      <c r="C58" s="163" t="s">
        <v>729</v>
      </c>
      <c r="D58" s="30">
        <v>1253689.72</v>
      </c>
      <c r="E58" s="30">
        <v>1116430</v>
      </c>
      <c r="F58" s="30">
        <v>851219.65</v>
      </c>
      <c r="G58" s="30">
        <v>210970</v>
      </c>
      <c r="H58" s="30">
        <v>1215540.42</v>
      </c>
      <c r="I58" s="30">
        <v>1668699.68</v>
      </c>
      <c r="J58" s="30">
        <v>867288</v>
      </c>
      <c r="K58" s="30">
        <v>1015600.65</v>
      </c>
      <c r="L58" s="30">
        <v>850839.99</v>
      </c>
      <c r="M58" s="30">
        <v>1030932</v>
      </c>
      <c r="N58" s="30">
        <v>632119.99</v>
      </c>
      <c r="O58" s="30">
        <v>1152736</v>
      </c>
      <c r="P58" s="30">
        <f t="shared" si="0"/>
        <v>11866066.1</v>
      </c>
    </row>
    <row r="59" spans="1:16" outlineLevel="2">
      <c r="A59" t="s">
        <v>730</v>
      </c>
      <c r="B59">
        <v>3</v>
      </c>
      <c r="C59" s="163" t="s">
        <v>731</v>
      </c>
      <c r="D59" s="30">
        <v>0</v>
      </c>
      <c r="E59" s="30">
        <v>12789</v>
      </c>
      <c r="F59" s="30">
        <v>0</v>
      </c>
      <c r="G59" s="30">
        <v>0</v>
      </c>
      <c r="H59" s="30">
        <v>50000</v>
      </c>
      <c r="I59" s="30">
        <v>208800</v>
      </c>
      <c r="J59" s="30">
        <v>348</v>
      </c>
      <c r="K59" s="30">
        <v>-208800</v>
      </c>
      <c r="L59" s="30">
        <v>0</v>
      </c>
      <c r="M59" s="30">
        <v>187262.56</v>
      </c>
      <c r="N59" s="30">
        <v>0</v>
      </c>
      <c r="O59" s="30">
        <v>20000</v>
      </c>
      <c r="P59" s="30">
        <f t="shared" si="0"/>
        <v>270399.56</v>
      </c>
    </row>
    <row r="60" spans="1:16" outlineLevel="2">
      <c r="A60" t="s">
        <v>732</v>
      </c>
      <c r="B60">
        <v>3</v>
      </c>
      <c r="C60" s="163" t="s">
        <v>733</v>
      </c>
      <c r="D60" s="30">
        <v>116000</v>
      </c>
      <c r="E60" s="30">
        <v>116000</v>
      </c>
      <c r="F60" s="30">
        <v>69600</v>
      </c>
      <c r="G60" s="30">
        <v>23200</v>
      </c>
      <c r="H60" s="30">
        <v>69600</v>
      </c>
      <c r="I60" s="30">
        <v>23200</v>
      </c>
      <c r="J60" s="30">
        <v>46400</v>
      </c>
      <c r="K60" s="30">
        <v>23200</v>
      </c>
      <c r="L60" s="30">
        <v>42653.2</v>
      </c>
      <c r="M60" s="30">
        <v>23200</v>
      </c>
      <c r="N60" s="30">
        <v>0</v>
      </c>
      <c r="O60" s="30">
        <v>23200</v>
      </c>
      <c r="P60" s="30">
        <f t="shared" si="0"/>
        <v>576253.19999999995</v>
      </c>
    </row>
    <row r="61" spans="1:16" outlineLevel="2">
      <c r="A61" t="s">
        <v>734</v>
      </c>
      <c r="B61">
        <v>3</v>
      </c>
      <c r="C61" s="163" t="s">
        <v>735</v>
      </c>
      <c r="D61" s="30">
        <v>205882.2</v>
      </c>
      <c r="E61" s="30">
        <v>217755.6</v>
      </c>
      <c r="F61" s="30">
        <v>337249.35</v>
      </c>
      <c r="G61" s="30">
        <v>96808.28</v>
      </c>
      <c r="H61" s="30">
        <v>212813.15</v>
      </c>
      <c r="I61" s="30">
        <v>275546.01</v>
      </c>
      <c r="J61" s="30">
        <v>251228.58</v>
      </c>
      <c r="K61" s="30">
        <v>249495.94</v>
      </c>
      <c r="L61" s="30">
        <v>249445.17</v>
      </c>
      <c r="M61" s="30">
        <v>264267.68</v>
      </c>
      <c r="N61" s="30">
        <v>264006.2</v>
      </c>
      <c r="O61" s="30">
        <v>257116.3</v>
      </c>
      <c r="P61" s="30">
        <f t="shared" si="0"/>
        <v>2881614.46</v>
      </c>
    </row>
    <row r="62" spans="1:16" outlineLevel="2">
      <c r="A62" t="s">
        <v>736</v>
      </c>
      <c r="B62">
        <v>3</v>
      </c>
      <c r="C62" s="163" t="s">
        <v>737</v>
      </c>
      <c r="D62" s="30">
        <v>8292.86</v>
      </c>
      <c r="E62" s="30">
        <v>7467.630000000001</v>
      </c>
      <c r="F62" s="30">
        <v>16939.52</v>
      </c>
      <c r="G62" s="30">
        <v>7212.19</v>
      </c>
      <c r="H62" s="30">
        <v>25510.83</v>
      </c>
      <c r="I62" s="30">
        <v>16686.149999999998</v>
      </c>
      <c r="J62" s="30">
        <v>9989.39</v>
      </c>
      <c r="K62" s="30">
        <v>24437.800000000003</v>
      </c>
      <c r="L62" s="30">
        <v>1751.5</v>
      </c>
      <c r="M62" s="30">
        <v>10408.99</v>
      </c>
      <c r="N62" s="30">
        <v>22666.79</v>
      </c>
      <c r="O62" s="30">
        <v>5220.41</v>
      </c>
      <c r="P62" s="30">
        <f t="shared" si="0"/>
        <v>156584.06000000003</v>
      </c>
    </row>
    <row r="63" spans="1:16" outlineLevel="2">
      <c r="A63" t="s">
        <v>738</v>
      </c>
      <c r="B63">
        <v>3</v>
      </c>
      <c r="C63" s="163" t="s">
        <v>739</v>
      </c>
      <c r="D63" s="30">
        <v>71141.399999999994</v>
      </c>
      <c r="E63" s="30">
        <v>133440.6</v>
      </c>
      <c r="F63" s="30">
        <v>0</v>
      </c>
      <c r="G63" s="30">
        <v>0</v>
      </c>
      <c r="H63" s="30">
        <v>70400.399999999994</v>
      </c>
      <c r="I63" s="30">
        <v>0</v>
      </c>
      <c r="J63" s="30">
        <v>110872.8</v>
      </c>
      <c r="K63" s="30">
        <v>73915.199999999997</v>
      </c>
      <c r="L63" s="30">
        <v>0</v>
      </c>
      <c r="M63" s="30">
        <v>36957.599999999999</v>
      </c>
      <c r="N63" s="30">
        <v>0</v>
      </c>
      <c r="O63" s="30">
        <v>36957.599999999999</v>
      </c>
      <c r="P63" s="30">
        <f t="shared" si="0"/>
        <v>533685.6</v>
      </c>
    </row>
    <row r="64" spans="1:16" outlineLevel="2">
      <c r="A64" t="s">
        <v>740</v>
      </c>
      <c r="B64">
        <v>3</v>
      </c>
      <c r="C64" s="163" t="s">
        <v>741</v>
      </c>
      <c r="D64" s="30">
        <v>52200</v>
      </c>
      <c r="E64" s="30">
        <v>81900.37</v>
      </c>
      <c r="F64" s="30">
        <v>0</v>
      </c>
      <c r="G64" s="30">
        <v>21886.78</v>
      </c>
      <c r="H64" s="30">
        <v>31900</v>
      </c>
      <c r="I64" s="30">
        <v>43500</v>
      </c>
      <c r="J64" s="30">
        <v>14500</v>
      </c>
      <c r="K64" s="30">
        <v>232226.32</v>
      </c>
      <c r="L64" s="30">
        <v>0</v>
      </c>
      <c r="M64" s="30">
        <v>0</v>
      </c>
      <c r="N64" s="30">
        <v>26100</v>
      </c>
      <c r="O64" s="30">
        <v>221384.91</v>
      </c>
      <c r="P64" s="30">
        <f t="shared" si="0"/>
        <v>725598.38</v>
      </c>
    </row>
    <row r="65" spans="1:16" outlineLevel="2">
      <c r="A65" t="s">
        <v>742</v>
      </c>
      <c r="B65">
        <v>3</v>
      </c>
      <c r="C65" s="163" t="s">
        <v>743</v>
      </c>
      <c r="D65" s="30">
        <v>1094.51</v>
      </c>
      <c r="E65" s="30">
        <v>1146.3900000000001</v>
      </c>
      <c r="F65" s="30">
        <v>486.4</v>
      </c>
      <c r="G65" s="30">
        <v>412.04</v>
      </c>
      <c r="H65" s="30">
        <v>1525.52</v>
      </c>
      <c r="I65" s="30">
        <v>564.79999999999995</v>
      </c>
      <c r="J65" s="30">
        <v>1596.02</v>
      </c>
      <c r="K65" s="30">
        <v>950.89</v>
      </c>
      <c r="L65" s="30">
        <v>383.26</v>
      </c>
      <c r="M65" s="30">
        <v>958.73</v>
      </c>
      <c r="N65" s="30">
        <v>0</v>
      </c>
      <c r="O65" s="30">
        <v>0</v>
      </c>
      <c r="P65" s="30">
        <f t="shared" si="0"/>
        <v>9118.5600000000013</v>
      </c>
    </row>
    <row r="66" spans="1:16" outlineLevel="2">
      <c r="A66" t="s">
        <v>744</v>
      </c>
      <c r="B66">
        <v>3</v>
      </c>
      <c r="C66" s="163" t="s">
        <v>745</v>
      </c>
      <c r="D66" s="30">
        <v>0</v>
      </c>
      <c r="E66" s="30">
        <v>0</v>
      </c>
      <c r="F66" s="30">
        <v>0</v>
      </c>
      <c r="G66" s="30">
        <v>36767</v>
      </c>
      <c r="H66" s="30">
        <v>0</v>
      </c>
      <c r="I66" s="30">
        <v>0</v>
      </c>
      <c r="J66" s="30">
        <v>0</v>
      </c>
      <c r="K66" s="30">
        <v>1054.72</v>
      </c>
      <c r="L66" s="30">
        <v>0</v>
      </c>
      <c r="M66" s="30">
        <v>34810</v>
      </c>
      <c r="N66" s="30">
        <v>0</v>
      </c>
      <c r="O66" s="30">
        <v>0</v>
      </c>
      <c r="P66" s="30">
        <f t="shared" si="0"/>
        <v>72631.72</v>
      </c>
    </row>
    <row r="67" spans="1:16" outlineLevel="2">
      <c r="A67" t="s">
        <v>746</v>
      </c>
      <c r="B67">
        <v>3</v>
      </c>
      <c r="C67" s="163" t="s">
        <v>747</v>
      </c>
      <c r="D67" s="30">
        <v>34800</v>
      </c>
      <c r="E67" s="30">
        <v>41760</v>
      </c>
      <c r="F67" s="30">
        <v>182120</v>
      </c>
      <c r="G67" s="30">
        <v>-23200</v>
      </c>
      <c r="H67" s="30">
        <v>87000</v>
      </c>
      <c r="I67" s="30">
        <v>118320</v>
      </c>
      <c r="J67" s="30">
        <v>35264</v>
      </c>
      <c r="K67" s="30">
        <v>38976</v>
      </c>
      <c r="L67" s="30">
        <v>304520</v>
      </c>
      <c r="M67" s="30">
        <v>35264</v>
      </c>
      <c r="N67" s="30">
        <v>0</v>
      </c>
      <c r="O67" s="30">
        <v>9744</v>
      </c>
      <c r="P67" s="30">
        <f t="shared" si="0"/>
        <v>864568</v>
      </c>
    </row>
    <row r="68" spans="1:16" outlineLevel="2">
      <c r="A68" t="s">
        <v>748</v>
      </c>
      <c r="B68">
        <v>3</v>
      </c>
      <c r="C68" s="163" t="s">
        <v>749</v>
      </c>
      <c r="D68" s="30">
        <v>9480</v>
      </c>
      <c r="E68" s="30">
        <v>0</v>
      </c>
      <c r="F68" s="30">
        <v>0</v>
      </c>
      <c r="G68" s="30">
        <v>0</v>
      </c>
      <c r="H68" s="30">
        <v>1355</v>
      </c>
      <c r="I68" s="30">
        <v>0</v>
      </c>
      <c r="J68" s="30">
        <v>0</v>
      </c>
      <c r="K68" s="30">
        <v>0</v>
      </c>
      <c r="L68" s="30">
        <v>9723</v>
      </c>
      <c r="M68" s="30">
        <v>5379</v>
      </c>
      <c r="N68" s="30">
        <v>0</v>
      </c>
      <c r="O68" s="30">
        <v>0</v>
      </c>
      <c r="P68" s="30">
        <f t="shared" si="0"/>
        <v>25937</v>
      </c>
    </row>
    <row r="69" spans="1:16" outlineLevel="2">
      <c r="A69" t="s">
        <v>750</v>
      </c>
      <c r="B69">
        <v>3</v>
      </c>
      <c r="C69" s="163" t="s">
        <v>751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f t="shared" si="0"/>
        <v>0</v>
      </c>
    </row>
    <row r="70" spans="1:16" outlineLevel="2">
      <c r="A70" t="s">
        <v>752</v>
      </c>
      <c r="B70">
        <v>3</v>
      </c>
      <c r="C70" s="163" t="s">
        <v>753</v>
      </c>
      <c r="D70" s="30">
        <v>0</v>
      </c>
      <c r="E70" s="30">
        <v>0</v>
      </c>
      <c r="F70" s="30">
        <v>6300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f t="shared" ref="P70:P92" si="3">SUM(D70:O70)</f>
        <v>6300</v>
      </c>
    </row>
    <row r="71" spans="1:16" outlineLevel="2">
      <c r="A71" t="s">
        <v>754</v>
      </c>
      <c r="B71">
        <v>3</v>
      </c>
      <c r="C71" s="163" t="s">
        <v>755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f t="shared" si="3"/>
        <v>0</v>
      </c>
    </row>
    <row r="72" spans="1:16" outlineLevel="2">
      <c r="A72" t="s">
        <v>756</v>
      </c>
      <c r="B72">
        <v>3</v>
      </c>
      <c r="C72" s="163" t="s">
        <v>757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f t="shared" si="3"/>
        <v>0</v>
      </c>
    </row>
    <row r="73" spans="1:16" outlineLevel="2">
      <c r="A73" t="s">
        <v>758</v>
      </c>
      <c r="B73">
        <v>3</v>
      </c>
      <c r="C73" s="163" t="s">
        <v>759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f t="shared" si="3"/>
        <v>0</v>
      </c>
    </row>
    <row r="74" spans="1:16" outlineLevel="2">
      <c r="A74" t="s">
        <v>760</v>
      </c>
      <c r="B74">
        <v>3</v>
      </c>
      <c r="C74" s="163" t="s">
        <v>761</v>
      </c>
      <c r="D74" s="30">
        <v>193838.8</v>
      </c>
      <c r="E74" s="30">
        <v>176081.93</v>
      </c>
      <c r="F74" s="30">
        <v>197809.1</v>
      </c>
      <c r="G74" s="30">
        <v>177302.49</v>
      </c>
      <c r="H74" s="30">
        <v>188384.31</v>
      </c>
      <c r="I74" s="30">
        <v>188122.7</v>
      </c>
      <c r="J74" s="30">
        <v>166630.82999999999</v>
      </c>
      <c r="K74" s="30">
        <v>177958.69</v>
      </c>
      <c r="L74" s="30">
        <v>211506.55</v>
      </c>
      <c r="M74" s="30">
        <v>178799.6</v>
      </c>
      <c r="N74" s="30">
        <v>167278.65</v>
      </c>
      <c r="O74" s="30">
        <v>177310.75</v>
      </c>
      <c r="P74" s="30">
        <f t="shared" si="3"/>
        <v>2201024.4</v>
      </c>
    </row>
    <row r="75" spans="1:16" outlineLevel="2">
      <c r="A75" t="s">
        <v>762</v>
      </c>
      <c r="B75">
        <v>3</v>
      </c>
      <c r="C75" s="163" t="s">
        <v>763</v>
      </c>
      <c r="D75" s="30">
        <v>22040</v>
      </c>
      <c r="E75" s="30">
        <v>2605.8200000000002</v>
      </c>
      <c r="F75" s="30">
        <v>69600</v>
      </c>
      <c r="G75" s="30">
        <v>0</v>
      </c>
      <c r="H75" s="30">
        <v>46400</v>
      </c>
      <c r="I75" s="30">
        <v>25288</v>
      </c>
      <c r="J75" s="30">
        <v>23200</v>
      </c>
      <c r="K75" s="30">
        <v>27839.25</v>
      </c>
      <c r="L75" s="30">
        <v>26677.4</v>
      </c>
      <c r="M75" s="30">
        <v>32329.01</v>
      </c>
      <c r="N75" s="30">
        <v>6728</v>
      </c>
      <c r="O75" s="30">
        <v>32310.639999999999</v>
      </c>
      <c r="P75" s="30">
        <f t="shared" si="3"/>
        <v>315018.12</v>
      </c>
    </row>
    <row r="76" spans="1:16" outlineLevel="2">
      <c r="A76" t="s">
        <v>764</v>
      </c>
      <c r="B76">
        <v>3</v>
      </c>
      <c r="C76" s="163" t="s">
        <v>765</v>
      </c>
      <c r="D76" s="30">
        <v>38280</v>
      </c>
      <c r="E76" s="30">
        <v>45936</v>
      </c>
      <c r="F76" s="30">
        <v>76560</v>
      </c>
      <c r="G76" s="30">
        <v>22968</v>
      </c>
      <c r="H76" s="30">
        <v>0</v>
      </c>
      <c r="I76" s="30">
        <v>50529.599999999999</v>
      </c>
      <c r="J76" s="30">
        <v>38280</v>
      </c>
      <c r="K76" s="30">
        <v>22968</v>
      </c>
      <c r="L76" s="30">
        <v>22968</v>
      </c>
      <c r="M76" s="30">
        <v>30624</v>
      </c>
      <c r="N76" s="30">
        <v>0</v>
      </c>
      <c r="O76" s="30">
        <v>68904</v>
      </c>
      <c r="P76" s="30">
        <f t="shared" si="3"/>
        <v>418017.6</v>
      </c>
    </row>
    <row r="77" spans="1:16" outlineLevel="2">
      <c r="A77" t="s">
        <v>766</v>
      </c>
      <c r="B77">
        <v>3</v>
      </c>
      <c r="C77" s="163" t="s">
        <v>767</v>
      </c>
      <c r="D77" s="30">
        <v>0</v>
      </c>
      <c r="E77" s="30">
        <v>0</v>
      </c>
      <c r="F77" s="30">
        <v>4297.8</v>
      </c>
      <c r="G77" s="30">
        <v>0</v>
      </c>
      <c r="H77" s="30">
        <v>0</v>
      </c>
      <c r="I77" s="30">
        <v>0</v>
      </c>
      <c r="J77" s="30">
        <v>0</v>
      </c>
      <c r="K77" s="30">
        <v>86130</v>
      </c>
      <c r="L77" s="30">
        <v>0</v>
      </c>
      <c r="M77" s="30">
        <v>60320</v>
      </c>
      <c r="N77" s="30">
        <v>0</v>
      </c>
      <c r="O77" s="30">
        <v>0</v>
      </c>
      <c r="P77" s="30">
        <f t="shared" si="3"/>
        <v>150747.79999999999</v>
      </c>
    </row>
    <row r="78" spans="1:16" outlineLevel="2">
      <c r="A78" t="s">
        <v>768</v>
      </c>
      <c r="B78">
        <v>3</v>
      </c>
      <c r="C78" s="163" t="s">
        <v>769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f t="shared" si="3"/>
        <v>0</v>
      </c>
    </row>
    <row r="79" spans="1:16" outlineLevel="2">
      <c r="A79" t="s">
        <v>770</v>
      </c>
      <c r="B79">
        <v>3</v>
      </c>
      <c r="C79" s="163" t="s">
        <v>771</v>
      </c>
      <c r="D79" s="30">
        <v>154501.03</v>
      </c>
      <c r="E79" s="30">
        <v>164527.14000000001</v>
      </c>
      <c r="F79" s="30">
        <v>149602.89000000001</v>
      </c>
      <c r="G79" s="30">
        <v>160918.84</v>
      </c>
      <c r="H79" s="30">
        <v>138617.9</v>
      </c>
      <c r="I79" s="30">
        <v>153420.28</v>
      </c>
      <c r="J79" s="30">
        <v>155607.96</v>
      </c>
      <c r="K79" s="30">
        <v>153832.48000000001</v>
      </c>
      <c r="L79" s="30">
        <v>155513.57</v>
      </c>
      <c r="M79" s="30">
        <v>151158.51999999999</v>
      </c>
      <c r="N79" s="30">
        <v>148059.21</v>
      </c>
      <c r="O79" s="30">
        <v>146024.65</v>
      </c>
      <c r="P79" s="30">
        <f t="shared" si="3"/>
        <v>1831784.47</v>
      </c>
    </row>
    <row r="80" spans="1:16" outlineLevel="2">
      <c r="A80" t="s">
        <v>772</v>
      </c>
      <c r="B80">
        <v>3</v>
      </c>
      <c r="C80" s="163" t="s">
        <v>88</v>
      </c>
      <c r="D80" s="30">
        <v>0</v>
      </c>
      <c r="E80" s="30">
        <v>0</v>
      </c>
      <c r="F80" s="30">
        <v>1162</v>
      </c>
      <c r="G80" s="30">
        <v>0</v>
      </c>
      <c r="H80" s="30">
        <v>0</v>
      </c>
      <c r="I80" s="30">
        <v>3890</v>
      </c>
      <c r="J80" s="30">
        <v>5232</v>
      </c>
      <c r="K80" s="30">
        <v>0</v>
      </c>
      <c r="L80" s="30">
        <v>1163</v>
      </c>
      <c r="M80" s="30">
        <v>12368.08</v>
      </c>
      <c r="N80" s="30">
        <v>11626</v>
      </c>
      <c r="O80" s="30">
        <v>0</v>
      </c>
      <c r="P80" s="30">
        <f t="shared" si="3"/>
        <v>35441.08</v>
      </c>
    </row>
    <row r="81" spans="1:17" outlineLevel="2">
      <c r="A81" t="s">
        <v>773</v>
      </c>
      <c r="B81">
        <v>3</v>
      </c>
      <c r="C81" s="163" t="s">
        <v>774</v>
      </c>
      <c r="D81" s="30">
        <v>14753.67</v>
      </c>
      <c r="E81" s="30">
        <v>43506.38</v>
      </c>
      <c r="F81" s="30">
        <v>14397</v>
      </c>
      <c r="G81" s="30">
        <v>50976.41</v>
      </c>
      <c r="H81" s="30">
        <v>16750</v>
      </c>
      <c r="I81" s="30">
        <v>11057.26</v>
      </c>
      <c r="J81" s="30">
        <v>74354.66</v>
      </c>
      <c r="K81" s="30">
        <v>49002.73</v>
      </c>
      <c r="L81" s="30">
        <v>61039.77</v>
      </c>
      <c r="M81" s="30">
        <v>77905.179999999993</v>
      </c>
      <c r="N81" s="30">
        <v>77620.87</v>
      </c>
      <c r="O81" s="30">
        <v>28550</v>
      </c>
      <c r="P81" s="30">
        <f t="shared" si="3"/>
        <v>519913.93</v>
      </c>
    </row>
    <row r="82" spans="1:17" outlineLevel="2">
      <c r="A82" t="s">
        <v>775</v>
      </c>
      <c r="B82">
        <v>3</v>
      </c>
      <c r="C82" s="163" t="s">
        <v>776</v>
      </c>
      <c r="D82" s="30">
        <v>0</v>
      </c>
      <c r="E82" s="30">
        <v>0</v>
      </c>
      <c r="F82" s="30">
        <v>37373.46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30124.62</v>
      </c>
      <c r="O82" s="30">
        <v>0</v>
      </c>
      <c r="P82" s="30">
        <f t="shared" si="3"/>
        <v>67498.080000000002</v>
      </c>
    </row>
    <row r="83" spans="1:17" outlineLevel="2">
      <c r="A83" t="s">
        <v>777</v>
      </c>
      <c r="B83">
        <v>3</v>
      </c>
      <c r="C83" s="163" t="s">
        <v>778</v>
      </c>
      <c r="D83" s="30">
        <v>1078.7</v>
      </c>
      <c r="E83" s="30">
        <v>770</v>
      </c>
      <c r="F83" s="30">
        <v>1608</v>
      </c>
      <c r="G83" s="30">
        <v>0</v>
      </c>
      <c r="H83" s="30">
        <v>1601.6</v>
      </c>
      <c r="I83" s="30">
        <v>1262.8900000000001</v>
      </c>
      <c r="J83" s="30">
        <v>731</v>
      </c>
      <c r="K83" s="30">
        <v>2539.9</v>
      </c>
      <c r="L83" s="30">
        <v>1918</v>
      </c>
      <c r="M83" s="30">
        <v>479</v>
      </c>
      <c r="N83" s="30">
        <v>1070.9000000000001</v>
      </c>
      <c r="O83" s="30">
        <v>370</v>
      </c>
      <c r="P83" s="30">
        <f t="shared" si="3"/>
        <v>13429.99</v>
      </c>
    </row>
    <row r="84" spans="1:17" outlineLevel="2">
      <c r="A84" t="s">
        <v>779</v>
      </c>
      <c r="B84">
        <v>3</v>
      </c>
      <c r="C84" s="163" t="s">
        <v>780</v>
      </c>
      <c r="D84" s="30">
        <v>0</v>
      </c>
      <c r="E84" s="30">
        <v>0</v>
      </c>
      <c r="F84" s="30">
        <v>0</v>
      </c>
      <c r="G84" s="30">
        <v>18600</v>
      </c>
      <c r="H84" s="30">
        <v>0</v>
      </c>
      <c r="I84" s="30">
        <v>0</v>
      </c>
      <c r="J84" s="30">
        <v>-18600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f t="shared" si="3"/>
        <v>0</v>
      </c>
    </row>
    <row r="85" spans="1:17" outlineLevel="2">
      <c r="A85" t="s">
        <v>781</v>
      </c>
      <c r="B85">
        <v>3</v>
      </c>
      <c r="C85" s="163" t="s">
        <v>782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f t="shared" si="3"/>
        <v>0</v>
      </c>
    </row>
    <row r="86" spans="1:17" outlineLevel="2">
      <c r="A86" t="s">
        <v>783</v>
      </c>
      <c r="B86">
        <v>3</v>
      </c>
      <c r="C86" s="163" t="s">
        <v>784</v>
      </c>
      <c r="D86" s="30">
        <v>1795299.31</v>
      </c>
      <c r="E86" s="30">
        <v>1795299.31</v>
      </c>
      <c r="F86" s="30">
        <v>1795299.31</v>
      </c>
      <c r="G86" s="30">
        <v>1795299.31</v>
      </c>
      <c r="H86" s="30">
        <v>1795299.31</v>
      </c>
      <c r="I86" s="30">
        <v>1795299.31</v>
      </c>
      <c r="J86" s="30">
        <v>1795299.31</v>
      </c>
      <c r="K86" s="30">
        <v>1795299.31</v>
      </c>
      <c r="L86" s="30">
        <v>1795299.31</v>
      </c>
      <c r="M86" s="30">
        <v>1795299.31</v>
      </c>
      <c r="N86" s="30">
        <v>1795299.31</v>
      </c>
      <c r="O86" s="30">
        <v>1795299.31</v>
      </c>
      <c r="P86" s="30">
        <f t="shared" si="3"/>
        <v>21543591.719999999</v>
      </c>
    </row>
    <row r="87" spans="1:17" outlineLevel="2">
      <c r="A87" t="s">
        <v>1320</v>
      </c>
      <c r="B87">
        <v>3</v>
      </c>
      <c r="C87" s="163" t="s">
        <v>1321</v>
      </c>
      <c r="G87" s="30">
        <v>1376702</v>
      </c>
      <c r="H87" s="30">
        <v>537464.56000000006</v>
      </c>
      <c r="I87" s="30">
        <v>499122</v>
      </c>
      <c r="J87" s="30">
        <v>472718</v>
      </c>
      <c r="K87" s="30">
        <v>487760</v>
      </c>
      <c r="L87" s="30">
        <v>486479</v>
      </c>
      <c r="M87" s="30">
        <v>471186</v>
      </c>
      <c r="N87" s="30">
        <v>465884</v>
      </c>
      <c r="O87" s="30">
        <v>461193</v>
      </c>
      <c r="P87" s="30">
        <f t="shared" si="3"/>
        <v>5258508.5600000005</v>
      </c>
    </row>
    <row r="88" spans="1:17" outlineLevel="2">
      <c r="A88" t="s">
        <v>1318</v>
      </c>
      <c r="B88">
        <v>3</v>
      </c>
      <c r="C88" s="287" t="s">
        <v>1319</v>
      </c>
      <c r="E88" s="30">
        <v>34111</v>
      </c>
      <c r="G88" s="30">
        <v>0</v>
      </c>
      <c r="H88" s="30">
        <v>0</v>
      </c>
      <c r="I88" s="30">
        <v>0</v>
      </c>
      <c r="J88" s="30">
        <v>11500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f t="shared" si="3"/>
        <v>45611</v>
      </c>
    </row>
    <row r="89" spans="1:17" outlineLevel="2">
      <c r="A89" t="s">
        <v>1326</v>
      </c>
      <c r="B89">
        <v>3</v>
      </c>
      <c r="C89" s="287" t="s">
        <v>1327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1334.19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f t="shared" si="3"/>
        <v>1334.19</v>
      </c>
    </row>
    <row r="90" spans="1:17" outlineLevel="2">
      <c r="A90" t="s">
        <v>785</v>
      </c>
      <c r="B90">
        <v>3</v>
      </c>
      <c r="C90" s="163" t="s">
        <v>364</v>
      </c>
      <c r="D90" s="30">
        <v>7021.02</v>
      </c>
      <c r="E90" s="30">
        <v>4908.79</v>
      </c>
      <c r="F90" s="30">
        <v>40722.9</v>
      </c>
      <c r="G90" s="30">
        <v>-8058.4699999999993</v>
      </c>
      <c r="H90" s="30">
        <v>104759.86</v>
      </c>
      <c r="I90" s="30">
        <v>688548.91999999993</v>
      </c>
      <c r="J90" s="30">
        <v>30246.890000000003</v>
      </c>
      <c r="K90" s="30">
        <v>3033.65</v>
      </c>
      <c r="L90" s="30">
        <v>31640.479999999989</v>
      </c>
      <c r="M90" s="30">
        <v>1085.68</v>
      </c>
      <c r="N90" s="30">
        <v>749.68000000000006</v>
      </c>
      <c r="O90" s="30">
        <v>13969.3</v>
      </c>
      <c r="P90" s="30">
        <f t="shared" si="3"/>
        <v>918628.70000000007</v>
      </c>
    </row>
    <row r="91" spans="1:17" outlineLevel="2">
      <c r="A91" t="s">
        <v>786</v>
      </c>
      <c r="B91">
        <v>3</v>
      </c>
      <c r="C91" s="163" t="s">
        <v>787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f t="shared" si="3"/>
        <v>0</v>
      </c>
    </row>
    <row r="92" spans="1:17" outlineLevel="2">
      <c r="A92" t="s">
        <v>788</v>
      </c>
      <c r="B92">
        <v>3</v>
      </c>
      <c r="C92" s="163" t="s">
        <v>789</v>
      </c>
      <c r="D92" s="30">
        <v>446528.4</v>
      </c>
      <c r="E92" s="30">
        <v>446528.4</v>
      </c>
      <c r="F92" s="30">
        <v>446528.4</v>
      </c>
      <c r="G92" s="30">
        <v>446528.4</v>
      </c>
      <c r="H92" s="30">
        <v>446528.4</v>
      </c>
      <c r="I92" s="30">
        <v>446528.4</v>
      </c>
      <c r="J92" s="30">
        <v>446528.4</v>
      </c>
      <c r="K92" s="30">
        <v>446528.4</v>
      </c>
      <c r="L92" s="30">
        <v>446528.4</v>
      </c>
      <c r="M92" s="30">
        <v>446528.4</v>
      </c>
      <c r="N92" s="30">
        <v>446528.4</v>
      </c>
      <c r="O92" s="30">
        <v>446528.4</v>
      </c>
      <c r="P92" s="30">
        <f t="shared" si="3"/>
        <v>5358340.8000000007</v>
      </c>
    </row>
    <row r="93" spans="1:17" s="233" customFormat="1" ht="15" outlineLevel="1">
      <c r="B93" s="233" t="s">
        <v>790</v>
      </c>
      <c r="C93" s="235" t="s">
        <v>427</v>
      </c>
      <c r="D93" s="236">
        <f t="shared" ref="D93:P93" si="4">SUBTOTAL(9,D44:D92)</f>
        <v>11930857.139999999</v>
      </c>
      <c r="E93" s="236">
        <f t="shared" si="4"/>
        <v>13668294.949999999</v>
      </c>
      <c r="F93" s="236">
        <f t="shared" si="4"/>
        <v>12373531.690000003</v>
      </c>
      <c r="G93" s="236">
        <f t="shared" si="4"/>
        <v>10597286.220000001</v>
      </c>
      <c r="H93" s="236">
        <f t="shared" si="4"/>
        <v>13284942.160000002</v>
      </c>
      <c r="I93" s="236">
        <f t="shared" si="4"/>
        <v>13699273.34</v>
      </c>
      <c r="J93" s="236">
        <f t="shared" si="4"/>
        <v>12192538.990000002</v>
      </c>
      <c r="K93" s="236">
        <f t="shared" si="4"/>
        <v>11636675.730000002</v>
      </c>
      <c r="L93" s="236">
        <f t="shared" si="4"/>
        <v>11183808.820000002</v>
      </c>
      <c r="M93" s="236">
        <f t="shared" si="4"/>
        <v>13489497.089999998</v>
      </c>
      <c r="N93" s="236">
        <f t="shared" si="4"/>
        <v>12091253.029999999</v>
      </c>
      <c r="O93" s="236">
        <f t="shared" si="4"/>
        <v>11665128.540000003</v>
      </c>
      <c r="P93" s="236">
        <f t="shared" si="4"/>
        <v>147813087.69999999</v>
      </c>
      <c r="Q93" s="237"/>
    </row>
    <row r="94" spans="1:17" outlineLevel="2">
      <c r="A94" t="s">
        <v>791</v>
      </c>
      <c r="B94">
        <v>4</v>
      </c>
      <c r="C94" s="163" t="s">
        <v>792</v>
      </c>
      <c r="D94" s="30">
        <v>222562.24</v>
      </c>
      <c r="E94" s="30">
        <v>347645.04</v>
      </c>
      <c r="F94" s="30">
        <v>270079.31999999995</v>
      </c>
      <c r="G94" s="30">
        <v>159304.54</v>
      </c>
      <c r="H94" s="30">
        <v>609437</v>
      </c>
      <c r="I94" s="30">
        <v>272066.40000000002</v>
      </c>
      <c r="J94" s="30">
        <v>124754.52</v>
      </c>
      <c r="K94" s="30">
        <v>154173.28</v>
      </c>
      <c r="L94" s="30">
        <v>164293.12</v>
      </c>
      <c r="M94" s="30">
        <v>337086.71999999997</v>
      </c>
      <c r="N94" s="30">
        <v>162164.26</v>
      </c>
      <c r="O94" s="30">
        <v>257727.64</v>
      </c>
      <c r="P94" s="30">
        <f t="shared" ref="P94:P157" si="5">SUM(D94:O94)</f>
        <v>3081294.0799999996</v>
      </c>
    </row>
    <row r="95" spans="1:17" outlineLevel="2">
      <c r="A95" t="s">
        <v>793</v>
      </c>
      <c r="B95">
        <v>4</v>
      </c>
      <c r="C95" s="163" t="s">
        <v>794</v>
      </c>
      <c r="D95" s="30">
        <v>199752.94</v>
      </c>
      <c r="E95" s="30">
        <v>381383.00999999995</v>
      </c>
      <c r="F95" s="30">
        <v>284056.8</v>
      </c>
      <c r="G95" s="30">
        <v>169062.62</v>
      </c>
      <c r="H95" s="30">
        <v>278932.71999999997</v>
      </c>
      <c r="I95" s="30">
        <v>222894.91</v>
      </c>
      <c r="J95" s="30">
        <v>67096.929999999993</v>
      </c>
      <c r="K95" s="30">
        <v>222504.2</v>
      </c>
      <c r="L95" s="30">
        <v>220454.24</v>
      </c>
      <c r="M95" s="30">
        <v>303362.21000000002</v>
      </c>
      <c r="N95" s="30">
        <v>211755.9</v>
      </c>
      <c r="O95" s="30">
        <v>246320.52</v>
      </c>
      <c r="P95" s="30">
        <f t="shared" si="5"/>
        <v>2807576.9999999995</v>
      </c>
    </row>
    <row r="96" spans="1:17" outlineLevel="2">
      <c r="A96" t="s">
        <v>795</v>
      </c>
      <c r="B96">
        <v>4</v>
      </c>
      <c r="C96" s="163" t="s">
        <v>796</v>
      </c>
      <c r="D96" s="30">
        <v>0</v>
      </c>
      <c r="E96" s="30">
        <v>1400</v>
      </c>
      <c r="F96" s="30">
        <v>2400</v>
      </c>
      <c r="G96" s="30">
        <v>0</v>
      </c>
      <c r="H96" s="30">
        <v>18090</v>
      </c>
      <c r="I96" s="30">
        <v>5545</v>
      </c>
      <c r="J96" s="30">
        <v>26279.99</v>
      </c>
      <c r="K96" s="30">
        <v>0</v>
      </c>
      <c r="L96" s="30">
        <v>6570</v>
      </c>
      <c r="M96" s="30">
        <v>0</v>
      </c>
      <c r="N96" s="30">
        <v>0</v>
      </c>
      <c r="O96" s="30">
        <v>0</v>
      </c>
      <c r="P96" s="30">
        <f t="shared" si="5"/>
        <v>60284.990000000005</v>
      </c>
    </row>
    <row r="97" spans="1:17" outlineLevel="2">
      <c r="A97" t="s">
        <v>797</v>
      </c>
      <c r="B97">
        <v>4</v>
      </c>
      <c r="C97" s="163" t="s">
        <v>798</v>
      </c>
      <c r="D97" s="30">
        <v>869.5</v>
      </c>
      <c r="E97" s="30">
        <v>784</v>
      </c>
      <c r="F97" s="30">
        <v>1317.72</v>
      </c>
      <c r="G97" s="30">
        <v>834.51</v>
      </c>
      <c r="H97" s="30">
        <v>178.96</v>
      </c>
      <c r="I97" s="30">
        <v>1796.62</v>
      </c>
      <c r="J97" s="30">
        <v>145.05000000000001</v>
      </c>
      <c r="K97" s="30">
        <v>2994.6</v>
      </c>
      <c r="L97" s="30">
        <v>324.8</v>
      </c>
      <c r="M97" s="30">
        <v>10479.1</v>
      </c>
      <c r="N97" s="30">
        <v>623.80999999999995</v>
      </c>
      <c r="O97" s="30">
        <v>355.75</v>
      </c>
      <c r="P97" s="30">
        <f t="shared" si="5"/>
        <v>20704.420000000002</v>
      </c>
    </row>
    <row r="98" spans="1:17" outlineLevel="2">
      <c r="A98" t="s">
        <v>799</v>
      </c>
      <c r="B98">
        <v>4</v>
      </c>
      <c r="C98" s="163" t="s">
        <v>800</v>
      </c>
      <c r="D98" s="30">
        <v>6424.1</v>
      </c>
      <c r="E98" s="30">
        <v>17441.96</v>
      </c>
      <c r="F98" s="30">
        <v>10765.77</v>
      </c>
      <c r="G98" s="30">
        <v>284.19</v>
      </c>
      <c r="H98" s="30">
        <v>16437.72</v>
      </c>
      <c r="I98" s="30">
        <v>12694.33</v>
      </c>
      <c r="J98" s="30">
        <v>6155.78</v>
      </c>
      <c r="K98" s="30">
        <v>12292.1</v>
      </c>
      <c r="L98" s="30">
        <v>3399.5</v>
      </c>
      <c r="M98" s="30">
        <v>7262.56</v>
      </c>
      <c r="N98" s="30">
        <v>5324.34</v>
      </c>
      <c r="O98" s="30">
        <v>2565.12</v>
      </c>
      <c r="P98" s="30">
        <f t="shared" si="5"/>
        <v>101047.47</v>
      </c>
    </row>
    <row r="99" spans="1:17" s="233" customFormat="1" ht="15" outlineLevel="1">
      <c r="B99" s="233" t="s">
        <v>801</v>
      </c>
      <c r="C99" s="235" t="s">
        <v>433</v>
      </c>
      <c r="D99" s="236">
        <f t="shared" ref="D99:P99" si="6">SUBTOTAL(9,D94:D98)</f>
        <v>429608.77999999997</v>
      </c>
      <c r="E99" s="236">
        <f t="shared" si="6"/>
        <v>748654.00999999989</v>
      </c>
      <c r="F99" s="236">
        <f t="shared" si="6"/>
        <v>568619.60999999987</v>
      </c>
      <c r="G99" s="236">
        <f t="shared" si="6"/>
        <v>329485.86000000004</v>
      </c>
      <c r="H99" s="236">
        <f t="shared" si="6"/>
        <v>923076.39999999991</v>
      </c>
      <c r="I99" s="236">
        <f t="shared" si="6"/>
        <v>514997.26000000007</v>
      </c>
      <c r="J99" s="236">
        <f t="shared" si="6"/>
        <v>224432.27</v>
      </c>
      <c r="K99" s="236">
        <f t="shared" si="6"/>
        <v>391964.17999999993</v>
      </c>
      <c r="L99" s="236">
        <f t="shared" si="6"/>
        <v>395041.66</v>
      </c>
      <c r="M99" s="236">
        <f t="shared" si="6"/>
        <v>658190.59</v>
      </c>
      <c r="N99" s="236">
        <f t="shared" si="6"/>
        <v>379868.31000000006</v>
      </c>
      <c r="O99" s="236">
        <f t="shared" si="6"/>
        <v>506969.03</v>
      </c>
      <c r="P99" s="236">
        <f t="shared" si="6"/>
        <v>6070907.959999999</v>
      </c>
      <c r="Q99" s="237"/>
    </row>
    <row r="100" spans="1:17" outlineLevel="2">
      <c r="A100" t="s">
        <v>802</v>
      </c>
      <c r="B100">
        <v>5</v>
      </c>
      <c r="C100" s="163" t="s">
        <v>803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41852.800000000003</v>
      </c>
      <c r="K100" s="30">
        <v>72291.199999999997</v>
      </c>
      <c r="L100" s="30">
        <v>0</v>
      </c>
      <c r="M100" s="30">
        <v>0</v>
      </c>
      <c r="N100" s="30">
        <v>0</v>
      </c>
      <c r="O100" s="30">
        <v>0</v>
      </c>
      <c r="P100" s="30">
        <f t="shared" si="5"/>
        <v>114144</v>
      </c>
    </row>
    <row r="101" spans="1:17" outlineLevel="2">
      <c r="A101" t="s">
        <v>804</v>
      </c>
      <c r="B101">
        <v>5</v>
      </c>
      <c r="C101" s="163" t="s">
        <v>805</v>
      </c>
      <c r="D101" s="30">
        <v>2401.1999999999998</v>
      </c>
      <c r="E101" s="30">
        <v>1314.4</v>
      </c>
      <c r="F101" s="30">
        <v>3618.6</v>
      </c>
      <c r="G101" s="30">
        <v>458.8</v>
      </c>
      <c r="H101" s="30">
        <v>421.3</v>
      </c>
      <c r="I101" s="30">
        <v>2064.88</v>
      </c>
      <c r="J101" s="30">
        <v>2834</v>
      </c>
      <c r="K101" s="30">
        <v>8804.4</v>
      </c>
      <c r="L101" s="30">
        <v>2001</v>
      </c>
      <c r="M101" s="30">
        <v>812</v>
      </c>
      <c r="N101" s="30">
        <v>3619.2</v>
      </c>
      <c r="O101" s="30">
        <v>440.8</v>
      </c>
      <c r="P101" s="30">
        <f t="shared" si="5"/>
        <v>28790.58</v>
      </c>
    </row>
    <row r="102" spans="1:17" outlineLevel="2">
      <c r="A102" t="s">
        <v>806</v>
      </c>
      <c r="B102">
        <v>5</v>
      </c>
      <c r="C102" s="163" t="s">
        <v>807</v>
      </c>
      <c r="D102" s="30">
        <v>68485.31</v>
      </c>
      <c r="E102" s="30">
        <v>6960</v>
      </c>
      <c r="F102" s="30">
        <v>108100.76</v>
      </c>
      <c r="G102" s="30">
        <v>44459</v>
      </c>
      <c r="H102" s="30">
        <v>23003.4</v>
      </c>
      <c r="I102" s="30">
        <v>13068.48</v>
      </c>
      <c r="J102" s="30">
        <v>21429.17</v>
      </c>
      <c r="K102" s="30">
        <v>26817.52</v>
      </c>
      <c r="L102" s="30">
        <v>43118.59</v>
      </c>
      <c r="M102" s="30">
        <v>21177.200000000001</v>
      </c>
      <c r="N102" s="30">
        <v>95407</v>
      </c>
      <c r="O102" s="30">
        <v>11404.46</v>
      </c>
      <c r="P102" s="30">
        <f t="shared" si="5"/>
        <v>483430.89</v>
      </c>
    </row>
    <row r="103" spans="1:17" outlineLevel="2">
      <c r="A103" t="s">
        <v>808</v>
      </c>
      <c r="B103">
        <v>5</v>
      </c>
      <c r="C103" s="163" t="s">
        <v>809</v>
      </c>
      <c r="D103" s="30">
        <v>3561.2</v>
      </c>
      <c r="E103" s="30">
        <v>66700</v>
      </c>
      <c r="F103" s="30">
        <v>123412.4</v>
      </c>
      <c r="G103" s="30">
        <v>82631</v>
      </c>
      <c r="H103" s="30">
        <v>5399.8</v>
      </c>
      <c r="I103" s="30">
        <v>5599.99</v>
      </c>
      <c r="J103" s="30">
        <v>1150.3900000000001</v>
      </c>
      <c r="K103" s="30">
        <v>2556</v>
      </c>
      <c r="L103" s="30">
        <v>118006.8</v>
      </c>
      <c r="M103" s="30">
        <v>5744.32</v>
      </c>
      <c r="N103" s="30">
        <v>1392</v>
      </c>
      <c r="O103" s="30">
        <v>4663.2</v>
      </c>
      <c r="P103" s="30">
        <f t="shared" si="5"/>
        <v>420817.1</v>
      </c>
    </row>
    <row r="104" spans="1:17" outlineLevel="2">
      <c r="A104" t="s">
        <v>810</v>
      </c>
      <c r="B104">
        <v>5</v>
      </c>
      <c r="C104" s="163" t="s">
        <v>811</v>
      </c>
      <c r="D104" s="30">
        <v>407950.62</v>
      </c>
      <c r="E104" s="30">
        <v>550095.29</v>
      </c>
      <c r="F104" s="30">
        <v>287165.22000000003</v>
      </c>
      <c r="G104" s="30">
        <v>139114.51999999999</v>
      </c>
      <c r="H104" s="30">
        <v>529634.20000000007</v>
      </c>
      <c r="I104" s="30">
        <v>468147.71</v>
      </c>
      <c r="J104" s="30">
        <v>359325.2</v>
      </c>
      <c r="K104" s="30">
        <v>215831.82</v>
      </c>
      <c r="L104" s="30">
        <v>94996.28</v>
      </c>
      <c r="M104" s="30">
        <v>145372.71</v>
      </c>
      <c r="N104" s="30">
        <v>116319.39</v>
      </c>
      <c r="O104" s="30">
        <v>437715.63</v>
      </c>
      <c r="P104" s="30">
        <f t="shared" si="5"/>
        <v>3751668.59</v>
      </c>
    </row>
    <row r="105" spans="1:17" outlineLevel="2">
      <c r="A105" t="s">
        <v>812</v>
      </c>
      <c r="B105">
        <v>5</v>
      </c>
      <c r="C105" s="163" t="s">
        <v>813</v>
      </c>
      <c r="D105" s="30">
        <v>42663.85</v>
      </c>
      <c r="E105" s="30">
        <v>25836.799999999999</v>
      </c>
      <c r="F105" s="30">
        <v>69677.87000000001</v>
      </c>
      <c r="G105" s="30">
        <v>66507.39</v>
      </c>
      <c r="H105" s="30">
        <v>47590.23</v>
      </c>
      <c r="I105" s="30">
        <v>40309.01</v>
      </c>
      <c r="J105" s="30">
        <v>21791.58</v>
      </c>
      <c r="K105" s="30">
        <v>25909.35</v>
      </c>
      <c r="L105" s="30">
        <v>34281.440000000002</v>
      </c>
      <c r="M105" s="30">
        <v>65433.04</v>
      </c>
      <c r="N105" s="30">
        <v>26617.01</v>
      </c>
      <c r="O105" s="30">
        <v>31046.26</v>
      </c>
      <c r="P105" s="30">
        <f t="shared" si="5"/>
        <v>497663.83</v>
      </c>
    </row>
    <row r="106" spans="1:17" outlineLevel="2">
      <c r="A106" t="s">
        <v>814</v>
      </c>
      <c r="B106">
        <v>5</v>
      </c>
      <c r="C106" s="163" t="s">
        <v>815</v>
      </c>
      <c r="D106" s="30">
        <v>173547.73</v>
      </c>
      <c r="E106" s="30">
        <v>106981.87000000001</v>
      </c>
      <c r="F106" s="30">
        <v>50415.55</v>
      </c>
      <c r="G106" s="30">
        <v>107797.36</v>
      </c>
      <c r="H106" s="30">
        <v>153967.74</v>
      </c>
      <c r="I106" s="30">
        <v>181620.91</v>
      </c>
      <c r="J106" s="30">
        <v>116787.1</v>
      </c>
      <c r="K106" s="30">
        <v>122591.99</v>
      </c>
      <c r="L106" s="30">
        <v>84695.39</v>
      </c>
      <c r="M106" s="30">
        <v>126906.35</v>
      </c>
      <c r="N106" s="30">
        <v>121455.65</v>
      </c>
      <c r="O106" s="30">
        <v>7053.31</v>
      </c>
      <c r="P106" s="30">
        <f t="shared" si="5"/>
        <v>1353820.95</v>
      </c>
    </row>
    <row r="107" spans="1:17" outlineLevel="2">
      <c r="A107" t="s">
        <v>816</v>
      </c>
      <c r="B107">
        <v>5</v>
      </c>
      <c r="C107" s="163" t="s">
        <v>434</v>
      </c>
      <c r="D107" s="30">
        <v>702323.94</v>
      </c>
      <c r="E107" s="30">
        <v>854954.93</v>
      </c>
      <c r="F107" s="30">
        <v>1341895.29</v>
      </c>
      <c r="G107" s="30">
        <v>503323.03</v>
      </c>
      <c r="H107" s="30">
        <v>1151795.81</v>
      </c>
      <c r="I107" s="30">
        <v>948059.29</v>
      </c>
      <c r="J107" s="30">
        <v>793402.73</v>
      </c>
      <c r="K107" s="30">
        <v>720139.89</v>
      </c>
      <c r="L107" s="30">
        <v>631159.19999999995</v>
      </c>
      <c r="M107" s="30">
        <v>854747.07000000007</v>
      </c>
      <c r="N107" s="30">
        <v>383397.15</v>
      </c>
      <c r="O107" s="30">
        <v>668412.48</v>
      </c>
      <c r="P107" s="30">
        <f t="shared" si="5"/>
        <v>9553610.8100000005</v>
      </c>
    </row>
    <row r="108" spans="1:17" outlineLevel="2">
      <c r="A108" t="s">
        <v>817</v>
      </c>
      <c r="B108">
        <v>5</v>
      </c>
      <c r="C108" s="163" t="s">
        <v>818</v>
      </c>
      <c r="D108" s="30">
        <v>196174.45</v>
      </c>
      <c r="E108" s="30">
        <v>445643.54</v>
      </c>
      <c r="F108" s="30">
        <v>190544.52</v>
      </c>
      <c r="G108" s="30">
        <v>24808.5</v>
      </c>
      <c r="H108" s="30">
        <v>369307.54</v>
      </c>
      <c r="I108" s="30">
        <v>43894.400000000001</v>
      </c>
      <c r="J108" s="30">
        <v>72365.210000000006</v>
      </c>
      <c r="K108" s="30">
        <v>293054.24</v>
      </c>
      <c r="L108" s="30">
        <v>198051.44</v>
      </c>
      <c r="M108" s="30">
        <v>65735.38</v>
      </c>
      <c r="N108" s="30">
        <v>220561.35</v>
      </c>
      <c r="O108" s="30">
        <v>97706.8</v>
      </c>
      <c r="P108" s="30">
        <f t="shared" si="5"/>
        <v>2217847.3699999996</v>
      </c>
    </row>
    <row r="109" spans="1:17" outlineLevel="2">
      <c r="A109" t="s">
        <v>819</v>
      </c>
      <c r="B109">
        <v>5</v>
      </c>
      <c r="C109" s="163" t="s">
        <v>820</v>
      </c>
      <c r="D109" s="30">
        <v>5080246.9800000004</v>
      </c>
      <c r="E109" s="30">
        <v>4656380.63</v>
      </c>
      <c r="F109" s="30">
        <v>6139426.7199999997</v>
      </c>
      <c r="G109" s="30">
        <v>2999718.01</v>
      </c>
      <c r="H109" s="30">
        <v>4251852.05</v>
      </c>
      <c r="I109" s="30">
        <v>4712057.04</v>
      </c>
      <c r="J109" s="30">
        <v>3086556.51</v>
      </c>
      <c r="K109" s="30">
        <v>3518526.44</v>
      </c>
      <c r="L109" s="30">
        <v>4299515.1100000003</v>
      </c>
      <c r="M109" s="30">
        <v>3489132.69</v>
      </c>
      <c r="N109" s="30">
        <v>4062373.26</v>
      </c>
      <c r="O109" s="30">
        <v>1803772.38</v>
      </c>
      <c r="P109" s="30">
        <f t="shared" si="5"/>
        <v>48099557.819999993</v>
      </c>
    </row>
    <row r="110" spans="1:17" outlineLevel="2">
      <c r="A110" t="s">
        <v>821</v>
      </c>
      <c r="B110">
        <v>5</v>
      </c>
      <c r="C110" s="163" t="s">
        <v>822</v>
      </c>
      <c r="D110" s="30">
        <v>564327</v>
      </c>
      <c r="E110" s="30">
        <v>15162.3</v>
      </c>
      <c r="F110" s="30">
        <v>78821</v>
      </c>
      <c r="G110" s="30">
        <v>0</v>
      </c>
      <c r="H110" s="30">
        <v>33655</v>
      </c>
      <c r="I110" s="30">
        <v>5374</v>
      </c>
      <c r="J110" s="30">
        <v>10070</v>
      </c>
      <c r="K110" s="30">
        <v>522</v>
      </c>
      <c r="L110" s="30">
        <v>6398</v>
      </c>
      <c r="M110" s="30">
        <v>9527</v>
      </c>
      <c r="N110" s="30">
        <v>21584</v>
      </c>
      <c r="O110" s="30">
        <v>5833</v>
      </c>
      <c r="P110" s="30">
        <f t="shared" si="5"/>
        <v>751273.3</v>
      </c>
    </row>
    <row r="111" spans="1:17" outlineLevel="2">
      <c r="A111" t="s">
        <v>823</v>
      </c>
      <c r="B111">
        <v>5</v>
      </c>
      <c r="C111" s="163" t="s">
        <v>824</v>
      </c>
      <c r="D111" s="30">
        <v>1160</v>
      </c>
      <c r="E111" s="30">
        <v>0</v>
      </c>
      <c r="F111" s="30">
        <v>0</v>
      </c>
      <c r="G111" s="30">
        <v>30900</v>
      </c>
      <c r="H111" s="30">
        <v>4400</v>
      </c>
      <c r="I111" s="30">
        <v>0</v>
      </c>
      <c r="J111" s="30">
        <v>15000</v>
      </c>
      <c r="K111" s="30">
        <v>0</v>
      </c>
      <c r="L111" s="30">
        <v>15568.8</v>
      </c>
      <c r="M111" s="30">
        <v>19720</v>
      </c>
      <c r="N111" s="30">
        <v>3712</v>
      </c>
      <c r="O111" s="30">
        <v>0</v>
      </c>
      <c r="P111" s="30">
        <f t="shared" si="5"/>
        <v>90460.800000000003</v>
      </c>
    </row>
    <row r="112" spans="1:17" outlineLevel="2">
      <c r="A112" t="s">
        <v>825</v>
      </c>
      <c r="B112">
        <v>5</v>
      </c>
      <c r="C112" s="163" t="s">
        <v>826</v>
      </c>
      <c r="D112" s="30">
        <v>90480</v>
      </c>
      <c r="E112" s="30">
        <v>0</v>
      </c>
      <c r="F112" s="30">
        <v>30160</v>
      </c>
      <c r="G112" s="30">
        <v>37700</v>
      </c>
      <c r="H112" s="30">
        <v>60320</v>
      </c>
      <c r="I112" s="30">
        <v>15080</v>
      </c>
      <c r="J112" s="30">
        <v>22620</v>
      </c>
      <c r="K112" s="30">
        <v>30160</v>
      </c>
      <c r="L112" s="30">
        <v>37700</v>
      </c>
      <c r="M112" s="30">
        <v>37700</v>
      </c>
      <c r="N112" s="30">
        <v>29900.010000000002</v>
      </c>
      <c r="O112" s="30">
        <v>45240</v>
      </c>
      <c r="P112" s="30">
        <f t="shared" si="5"/>
        <v>437060.01</v>
      </c>
    </row>
    <row r="113" spans="1:17" outlineLevel="2">
      <c r="A113" t="s">
        <v>827</v>
      </c>
      <c r="B113">
        <v>5</v>
      </c>
      <c r="C113" s="163" t="s">
        <v>828</v>
      </c>
      <c r="D113" s="30">
        <v>0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f t="shared" si="5"/>
        <v>0</v>
      </c>
    </row>
    <row r="114" spans="1:17" outlineLevel="2">
      <c r="A114" t="s">
        <v>829</v>
      </c>
      <c r="B114">
        <v>5</v>
      </c>
      <c r="C114" s="163" t="s">
        <v>830</v>
      </c>
      <c r="D114" s="30">
        <v>94854.88</v>
      </c>
      <c r="E114" s="30">
        <v>221712.43</v>
      </c>
      <c r="F114" s="30">
        <v>93581</v>
      </c>
      <c r="G114" s="30">
        <v>71660.710000000006</v>
      </c>
      <c r="H114" s="30">
        <v>212123.29</v>
      </c>
      <c r="I114" s="30">
        <v>140697.10999999999</v>
      </c>
      <c r="J114" s="30">
        <v>125763.84</v>
      </c>
      <c r="K114" s="30">
        <v>92208.62</v>
      </c>
      <c r="L114" s="30">
        <v>93942.080000000002</v>
      </c>
      <c r="M114" s="30">
        <v>154937.04</v>
      </c>
      <c r="N114" s="30">
        <v>34308.86</v>
      </c>
      <c r="O114" s="30">
        <v>76982.36</v>
      </c>
      <c r="P114" s="30">
        <f t="shared" si="5"/>
        <v>1412772.2200000002</v>
      </c>
    </row>
    <row r="115" spans="1:17" outlineLevel="2">
      <c r="A115" t="s">
        <v>831</v>
      </c>
      <c r="B115">
        <v>5</v>
      </c>
      <c r="C115" s="163" t="s">
        <v>832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f t="shared" si="5"/>
        <v>0</v>
      </c>
    </row>
    <row r="116" spans="1:17" outlineLevel="2">
      <c r="A116" t="s">
        <v>833</v>
      </c>
      <c r="B116">
        <v>5</v>
      </c>
      <c r="C116" s="163" t="s">
        <v>834</v>
      </c>
      <c r="D116" s="30">
        <v>66526.78</v>
      </c>
      <c r="E116" s="30">
        <v>451415.42</v>
      </c>
      <c r="F116" s="30">
        <v>103749.65</v>
      </c>
      <c r="G116" s="30">
        <v>144585.13</v>
      </c>
      <c r="H116" s="30">
        <v>261336.15000000002</v>
      </c>
      <c r="I116" s="30">
        <v>282593.38</v>
      </c>
      <c r="J116" s="30">
        <v>253740.92</v>
      </c>
      <c r="K116" s="30">
        <v>325593.43</v>
      </c>
      <c r="L116" s="30">
        <v>382638.69</v>
      </c>
      <c r="M116" s="30">
        <v>167797</v>
      </c>
      <c r="N116" s="30">
        <v>181437.33000000002</v>
      </c>
      <c r="O116" s="30">
        <v>138700.41</v>
      </c>
      <c r="P116" s="30">
        <f t="shared" si="5"/>
        <v>2760114.29</v>
      </c>
    </row>
    <row r="117" spans="1:17" outlineLevel="2">
      <c r="A117" t="s">
        <v>835</v>
      </c>
      <c r="B117">
        <v>5</v>
      </c>
      <c r="C117" s="163" t="s">
        <v>836</v>
      </c>
      <c r="D117" s="30">
        <v>144742</v>
      </c>
      <c r="E117" s="30">
        <v>89001.2</v>
      </c>
      <c r="F117" s="30">
        <v>107184</v>
      </c>
      <c r="G117" s="30">
        <v>30160</v>
      </c>
      <c r="H117" s="30">
        <v>106838.32</v>
      </c>
      <c r="I117" s="30">
        <v>88041.68</v>
      </c>
      <c r="J117" s="30">
        <v>36639.760000000002</v>
      </c>
      <c r="K117" s="30">
        <v>53128</v>
      </c>
      <c r="L117" s="30">
        <v>75388.399999999994</v>
      </c>
      <c r="M117" s="30">
        <v>59690.12</v>
      </c>
      <c r="N117" s="30">
        <v>41479.279999999999</v>
      </c>
      <c r="O117" s="30">
        <v>106344.16</v>
      </c>
      <c r="P117" s="30">
        <f t="shared" si="5"/>
        <v>938636.92</v>
      </c>
    </row>
    <row r="118" spans="1:17" outlineLevel="2">
      <c r="A118" t="s">
        <v>837</v>
      </c>
      <c r="B118">
        <v>5</v>
      </c>
      <c r="C118" s="163" t="s">
        <v>838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f t="shared" si="5"/>
        <v>0</v>
      </c>
    </row>
    <row r="119" spans="1:17" outlineLevel="2">
      <c r="A119" t="s">
        <v>839</v>
      </c>
      <c r="B119">
        <v>5</v>
      </c>
      <c r="C119" s="163" t="s">
        <v>840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f t="shared" si="5"/>
        <v>0</v>
      </c>
    </row>
    <row r="120" spans="1:17" outlineLevel="2">
      <c r="A120" t="s">
        <v>841</v>
      </c>
      <c r="B120">
        <v>5</v>
      </c>
      <c r="C120" s="163" t="s">
        <v>842</v>
      </c>
      <c r="D120" s="30">
        <v>10882.23</v>
      </c>
      <c r="E120" s="30">
        <v>9928.44</v>
      </c>
      <c r="F120" s="30">
        <v>17936.3</v>
      </c>
      <c r="G120" s="30">
        <v>8699.9699999999993</v>
      </c>
      <c r="H120" s="30">
        <v>15092.59</v>
      </c>
      <c r="I120" s="30">
        <v>10324.719999999999</v>
      </c>
      <c r="J120" s="30">
        <v>12642.77</v>
      </c>
      <c r="K120" s="30">
        <v>16499.73</v>
      </c>
      <c r="L120" s="30">
        <v>17203.79</v>
      </c>
      <c r="M120" s="30">
        <v>8831.56</v>
      </c>
      <c r="N120" s="30">
        <v>16185.28</v>
      </c>
      <c r="O120" s="30">
        <v>8165.65</v>
      </c>
      <c r="P120" s="30">
        <f t="shared" si="5"/>
        <v>152393.03</v>
      </c>
    </row>
    <row r="121" spans="1:17" outlineLevel="2">
      <c r="A121" t="s">
        <v>843</v>
      </c>
      <c r="B121">
        <v>5</v>
      </c>
      <c r="C121" s="163" t="s">
        <v>844</v>
      </c>
      <c r="D121" s="30">
        <v>0</v>
      </c>
      <c r="E121" s="30">
        <v>964.82</v>
      </c>
      <c r="F121" s="30">
        <v>0</v>
      </c>
      <c r="G121" s="30">
        <v>0</v>
      </c>
      <c r="H121" s="30">
        <v>0</v>
      </c>
      <c r="I121" s="30">
        <v>6948.4</v>
      </c>
      <c r="J121" s="30">
        <v>0</v>
      </c>
      <c r="K121" s="30">
        <v>11</v>
      </c>
      <c r="L121" s="30">
        <v>200</v>
      </c>
      <c r="M121" s="30">
        <v>0</v>
      </c>
      <c r="N121" s="30">
        <v>0</v>
      </c>
      <c r="O121" s="30">
        <v>0</v>
      </c>
      <c r="P121" s="30">
        <f t="shared" si="5"/>
        <v>8124.2199999999993</v>
      </c>
    </row>
    <row r="122" spans="1:17" outlineLevel="2">
      <c r="A122" t="s">
        <v>845</v>
      </c>
      <c r="B122">
        <v>5</v>
      </c>
      <c r="C122" s="163" t="s">
        <v>846</v>
      </c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f t="shared" si="5"/>
        <v>0</v>
      </c>
    </row>
    <row r="123" spans="1:17" outlineLevel="2">
      <c r="A123" t="s">
        <v>847</v>
      </c>
      <c r="B123">
        <v>5</v>
      </c>
      <c r="C123" s="163" t="s">
        <v>848</v>
      </c>
      <c r="D123" s="30">
        <v>479120.23</v>
      </c>
      <c r="E123" s="30">
        <v>1192238.68</v>
      </c>
      <c r="F123" s="30">
        <v>73990.600000000006</v>
      </c>
      <c r="G123" s="30">
        <v>341224.78</v>
      </c>
      <c r="H123" s="30">
        <v>390631.42</v>
      </c>
      <c r="I123" s="30">
        <v>588151.31999999995</v>
      </c>
      <c r="J123" s="30">
        <v>1348172.5099999998</v>
      </c>
      <c r="K123" s="30">
        <v>354951.85</v>
      </c>
      <c r="L123" s="30">
        <v>377564.92</v>
      </c>
      <c r="M123" s="30">
        <v>222865.23</v>
      </c>
      <c r="N123" s="30">
        <v>418725.34</v>
      </c>
      <c r="O123" s="30">
        <v>397364.41</v>
      </c>
      <c r="P123" s="30">
        <f t="shared" si="5"/>
        <v>6185001.2899999991</v>
      </c>
    </row>
    <row r="124" spans="1:17" outlineLevel="2">
      <c r="A124" t="s">
        <v>849</v>
      </c>
      <c r="B124">
        <v>5</v>
      </c>
      <c r="C124" s="163" t="s">
        <v>850</v>
      </c>
      <c r="D124" s="30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f t="shared" si="5"/>
        <v>0</v>
      </c>
    </row>
    <row r="125" spans="1:17" s="233" customFormat="1" ht="15" outlineLevel="1">
      <c r="B125" s="233" t="s">
        <v>851</v>
      </c>
      <c r="C125" s="235" t="s">
        <v>852</v>
      </c>
      <c r="D125" s="236">
        <f t="shared" ref="D125:P125" si="7">SUBTOTAL(9,D100:D124)</f>
        <v>8129448.4000000004</v>
      </c>
      <c r="E125" s="236">
        <f t="shared" si="7"/>
        <v>8695290.75</v>
      </c>
      <c r="F125" s="236">
        <f t="shared" si="7"/>
        <v>8819679.4800000004</v>
      </c>
      <c r="G125" s="236">
        <f t="shared" si="7"/>
        <v>4633748.2</v>
      </c>
      <c r="H125" s="236">
        <f t="shared" si="7"/>
        <v>7617368.8400000008</v>
      </c>
      <c r="I125" s="236">
        <f t="shared" si="7"/>
        <v>7552032.3200000003</v>
      </c>
      <c r="J125" s="236">
        <f t="shared" si="7"/>
        <v>6342144.4899999984</v>
      </c>
      <c r="K125" s="236">
        <f t="shared" si="7"/>
        <v>5879597.4799999995</v>
      </c>
      <c r="L125" s="236">
        <f t="shared" si="7"/>
        <v>6512429.9300000006</v>
      </c>
      <c r="M125" s="236">
        <f t="shared" si="7"/>
        <v>5456128.71</v>
      </c>
      <c r="N125" s="236">
        <f t="shared" si="7"/>
        <v>5778474.1100000003</v>
      </c>
      <c r="O125" s="236">
        <f t="shared" si="7"/>
        <v>3840845.3100000005</v>
      </c>
      <c r="P125" s="236">
        <f t="shared" si="7"/>
        <v>79257188.020000011</v>
      </c>
      <c r="Q125" s="237"/>
    </row>
    <row r="126" spans="1:17" outlineLevel="2">
      <c r="A126" t="s">
        <v>853</v>
      </c>
      <c r="B126">
        <v>6</v>
      </c>
      <c r="C126" s="163" t="s">
        <v>854</v>
      </c>
      <c r="D126" s="30">
        <v>54882.879999999997</v>
      </c>
      <c r="E126" s="30">
        <v>3000</v>
      </c>
      <c r="F126" s="30">
        <v>58478.400000000001</v>
      </c>
      <c r="G126" s="30">
        <v>78863.199999999997</v>
      </c>
      <c r="H126" s="30">
        <v>73827.08</v>
      </c>
      <c r="I126" s="30">
        <v>954354.96</v>
      </c>
      <c r="J126" s="30">
        <v>20518.2</v>
      </c>
      <c r="K126" s="30">
        <v>17635</v>
      </c>
      <c r="L126" s="30">
        <v>2088</v>
      </c>
      <c r="M126" s="30">
        <v>29560.560000000001</v>
      </c>
      <c r="N126" s="30">
        <v>3906.99</v>
      </c>
      <c r="O126" s="30">
        <v>25863.599999999999</v>
      </c>
      <c r="P126" s="30">
        <f t="shared" si="5"/>
        <v>1322978.8700000001</v>
      </c>
    </row>
    <row r="127" spans="1:17" outlineLevel="2">
      <c r="A127" t="s">
        <v>855</v>
      </c>
      <c r="B127">
        <v>6</v>
      </c>
      <c r="C127" s="163" t="s">
        <v>856</v>
      </c>
      <c r="D127" s="30">
        <v>132725.51</v>
      </c>
      <c r="E127" s="30">
        <v>47316.52</v>
      </c>
      <c r="F127" s="30">
        <v>86387.09</v>
      </c>
      <c r="G127" s="30">
        <v>70871.5</v>
      </c>
      <c r="H127" s="30">
        <v>182743.91999999998</v>
      </c>
      <c r="I127" s="30">
        <v>175784.2</v>
      </c>
      <c r="J127" s="30">
        <v>120051.94</v>
      </c>
      <c r="K127" s="30">
        <v>213946.03</v>
      </c>
      <c r="L127" s="30">
        <v>114426</v>
      </c>
      <c r="M127" s="30">
        <v>188397.74</v>
      </c>
      <c r="N127" s="30">
        <v>89239</v>
      </c>
      <c r="O127" s="30">
        <v>109120.2</v>
      </c>
      <c r="P127" s="30">
        <f t="shared" si="5"/>
        <v>1531009.65</v>
      </c>
    </row>
    <row r="128" spans="1:17" outlineLevel="2">
      <c r="A128" t="s">
        <v>857</v>
      </c>
      <c r="B128">
        <v>6</v>
      </c>
      <c r="C128" s="163" t="s">
        <v>89</v>
      </c>
      <c r="D128" s="30">
        <v>0</v>
      </c>
      <c r="E128" s="30">
        <v>0</v>
      </c>
      <c r="F128" s="30">
        <v>25000</v>
      </c>
      <c r="G128" s="30">
        <v>20000</v>
      </c>
      <c r="H128" s="30">
        <v>0</v>
      </c>
      <c r="I128" s="30">
        <v>0</v>
      </c>
      <c r="J128" s="30">
        <v>0</v>
      </c>
      <c r="K128" s="30">
        <v>0</v>
      </c>
      <c r="L128" s="30">
        <v>412500</v>
      </c>
      <c r="M128" s="30">
        <v>0</v>
      </c>
      <c r="N128" s="30">
        <v>25000</v>
      </c>
      <c r="O128" s="30">
        <v>21000</v>
      </c>
      <c r="P128" s="30">
        <f t="shared" si="5"/>
        <v>503500</v>
      </c>
    </row>
    <row r="129" spans="1:16" outlineLevel="2">
      <c r="A129" t="s">
        <v>858</v>
      </c>
      <c r="B129">
        <v>6</v>
      </c>
      <c r="C129" s="163" t="s">
        <v>859</v>
      </c>
      <c r="D129" s="30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f t="shared" si="5"/>
        <v>0</v>
      </c>
    </row>
    <row r="130" spans="1:16" outlineLevel="2">
      <c r="A130" t="s">
        <v>860</v>
      </c>
      <c r="B130">
        <v>6</v>
      </c>
      <c r="C130" s="163" t="s">
        <v>861</v>
      </c>
      <c r="D130" s="30">
        <v>0</v>
      </c>
      <c r="E130" s="30">
        <v>0</v>
      </c>
      <c r="F130" s="30">
        <v>1644400</v>
      </c>
      <c r="G130" s="30">
        <v>7500</v>
      </c>
      <c r="H130" s="30">
        <v>0</v>
      </c>
      <c r="I130" s="30">
        <v>-17200</v>
      </c>
      <c r="J130" s="30">
        <v>0</v>
      </c>
      <c r="K130" s="30">
        <v>2175500</v>
      </c>
      <c r="L130" s="30">
        <v>405600</v>
      </c>
      <c r="M130" s="30">
        <v>8200</v>
      </c>
      <c r="N130" s="30">
        <v>0</v>
      </c>
      <c r="O130" s="30">
        <v>0</v>
      </c>
      <c r="P130" s="30">
        <f t="shared" si="5"/>
        <v>4224000</v>
      </c>
    </row>
    <row r="131" spans="1:16" outlineLevel="2">
      <c r="A131" t="s">
        <v>862</v>
      </c>
      <c r="B131">
        <v>6</v>
      </c>
      <c r="C131" s="163" t="s">
        <v>863</v>
      </c>
      <c r="D131" s="30">
        <v>139338.76</v>
      </c>
      <c r="E131" s="30">
        <v>286917.08</v>
      </c>
      <c r="F131" s="30">
        <v>85896.9</v>
      </c>
      <c r="G131" s="30">
        <v>85149.45</v>
      </c>
      <c r="H131" s="30">
        <v>197316.47</v>
      </c>
      <c r="I131" s="30">
        <v>257686.8</v>
      </c>
      <c r="J131" s="30">
        <v>309201.44</v>
      </c>
      <c r="K131" s="30">
        <v>496176.08</v>
      </c>
      <c r="L131" s="30">
        <v>143751.44</v>
      </c>
      <c r="M131" s="30">
        <v>320336.75</v>
      </c>
      <c r="N131" s="30">
        <v>206200.95</v>
      </c>
      <c r="O131" s="30">
        <v>189100.76</v>
      </c>
      <c r="P131" s="30">
        <f t="shared" si="5"/>
        <v>2717072.88</v>
      </c>
    </row>
    <row r="132" spans="1:16" outlineLevel="2">
      <c r="A132" t="s">
        <v>864</v>
      </c>
      <c r="B132">
        <v>6</v>
      </c>
      <c r="C132" s="163" t="s">
        <v>865</v>
      </c>
      <c r="D132" s="30">
        <v>134433.5</v>
      </c>
      <c r="E132" s="30">
        <v>111360</v>
      </c>
      <c r="F132" s="30">
        <v>188702.75</v>
      </c>
      <c r="G132" s="30">
        <v>107363.5</v>
      </c>
      <c r="H132" s="30">
        <v>150567.5</v>
      </c>
      <c r="I132" s="30">
        <v>201497</v>
      </c>
      <c r="J132" s="30">
        <v>113584.5</v>
      </c>
      <c r="K132" s="30">
        <v>99835.5</v>
      </c>
      <c r="L132" s="30">
        <v>183211</v>
      </c>
      <c r="M132" s="30">
        <v>161415.5</v>
      </c>
      <c r="N132" s="30">
        <v>128686</v>
      </c>
      <c r="O132" s="30">
        <v>78931</v>
      </c>
      <c r="P132" s="30">
        <f t="shared" si="5"/>
        <v>1659587.75</v>
      </c>
    </row>
    <row r="133" spans="1:16" outlineLevel="2">
      <c r="A133" t="s">
        <v>866</v>
      </c>
      <c r="B133">
        <v>6</v>
      </c>
      <c r="C133" s="163" t="s">
        <v>867</v>
      </c>
      <c r="D133" s="30">
        <v>0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f t="shared" si="5"/>
        <v>0</v>
      </c>
    </row>
    <row r="134" spans="1:16" outlineLevel="2">
      <c r="A134" t="s">
        <v>868</v>
      </c>
      <c r="B134">
        <v>6</v>
      </c>
      <c r="C134" s="163" t="s">
        <v>869</v>
      </c>
      <c r="D134" s="30">
        <v>34520.400000000001</v>
      </c>
      <c r="E134" s="30">
        <v>59350.77</v>
      </c>
      <c r="F134" s="30">
        <v>91476.59</v>
      </c>
      <c r="G134" s="30">
        <v>35363</v>
      </c>
      <c r="H134" s="30">
        <v>58056.43</v>
      </c>
      <c r="I134" s="30">
        <v>45630.5</v>
      </c>
      <c r="J134" s="30">
        <v>47467.4</v>
      </c>
      <c r="K134" s="30">
        <v>51876.35</v>
      </c>
      <c r="L134" s="30">
        <v>94608.21</v>
      </c>
      <c r="M134" s="30">
        <v>73473.08</v>
      </c>
      <c r="N134" s="30">
        <v>78562.989999999991</v>
      </c>
      <c r="O134" s="30">
        <v>34920.5</v>
      </c>
      <c r="P134" s="30">
        <f t="shared" si="5"/>
        <v>705306.22</v>
      </c>
    </row>
    <row r="135" spans="1:16" outlineLevel="2">
      <c r="A135" t="s">
        <v>870</v>
      </c>
      <c r="B135">
        <v>6</v>
      </c>
      <c r="C135" s="163" t="s">
        <v>871</v>
      </c>
      <c r="D135" s="30">
        <v>76044.23</v>
      </c>
      <c r="E135" s="30">
        <v>146376.5</v>
      </c>
      <c r="F135" s="30">
        <v>80376.44</v>
      </c>
      <c r="G135" s="30">
        <v>52889.25</v>
      </c>
      <c r="H135" s="30">
        <v>165490.29999999999</v>
      </c>
      <c r="I135" s="30">
        <v>88965.28</v>
      </c>
      <c r="J135" s="30">
        <v>101135.53</v>
      </c>
      <c r="K135" s="30">
        <v>144809.68</v>
      </c>
      <c r="L135" s="30">
        <v>100837.15</v>
      </c>
      <c r="M135" s="30">
        <v>69473.600000000006</v>
      </c>
      <c r="N135" s="30">
        <v>88000.52</v>
      </c>
      <c r="O135" s="30">
        <v>53760.49</v>
      </c>
      <c r="P135" s="30">
        <f t="shared" si="5"/>
        <v>1168158.97</v>
      </c>
    </row>
    <row r="136" spans="1:16" outlineLevel="2">
      <c r="A136" t="s">
        <v>872</v>
      </c>
      <c r="B136">
        <v>6</v>
      </c>
      <c r="C136" s="163" t="s">
        <v>873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f t="shared" si="5"/>
        <v>0</v>
      </c>
    </row>
    <row r="137" spans="1:16" outlineLevel="2">
      <c r="A137" t="s">
        <v>874</v>
      </c>
      <c r="B137">
        <v>6</v>
      </c>
      <c r="C137" s="163" t="s">
        <v>875</v>
      </c>
      <c r="D137" s="30">
        <v>137997.6</v>
      </c>
      <c r="E137" s="30">
        <v>142421.95000000001</v>
      </c>
      <c r="F137" s="30">
        <v>6032</v>
      </c>
      <c r="G137" s="30">
        <v>44573.5</v>
      </c>
      <c r="H137" s="30">
        <v>259115.21999999997</v>
      </c>
      <c r="I137" s="30">
        <v>51115.519999999997</v>
      </c>
      <c r="J137" s="30">
        <v>73485.600000000006</v>
      </c>
      <c r="K137" s="30">
        <v>27427.26</v>
      </c>
      <c r="L137" s="30">
        <v>191576</v>
      </c>
      <c r="M137" s="30">
        <v>128778</v>
      </c>
      <c r="N137" s="30">
        <v>118075</v>
      </c>
      <c r="O137" s="30">
        <v>265399</v>
      </c>
      <c r="P137" s="30">
        <f t="shared" si="5"/>
        <v>1445996.65</v>
      </c>
    </row>
    <row r="138" spans="1:16" outlineLevel="2">
      <c r="A138" t="s">
        <v>876</v>
      </c>
      <c r="B138">
        <v>6</v>
      </c>
      <c r="C138" s="163" t="s">
        <v>877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f t="shared" si="5"/>
        <v>0</v>
      </c>
    </row>
    <row r="139" spans="1:16" outlineLevel="2">
      <c r="A139" t="s">
        <v>878</v>
      </c>
      <c r="B139">
        <v>6</v>
      </c>
      <c r="C139" s="163" t="s">
        <v>879</v>
      </c>
      <c r="D139" s="30">
        <v>36986</v>
      </c>
      <c r="E139" s="30">
        <v>10300</v>
      </c>
      <c r="F139" s="30">
        <v>12689.5</v>
      </c>
      <c r="G139" s="30">
        <v>3972.5</v>
      </c>
      <c r="H139" s="30">
        <v>18598.8</v>
      </c>
      <c r="I139" s="30">
        <v>20507.5</v>
      </c>
      <c r="J139" s="30">
        <v>75687.75</v>
      </c>
      <c r="K139" s="30">
        <v>49883.8</v>
      </c>
      <c r="L139" s="30">
        <v>43619</v>
      </c>
      <c r="M139" s="30">
        <v>35959.4</v>
      </c>
      <c r="N139" s="30">
        <v>2955</v>
      </c>
      <c r="O139" s="30">
        <v>18243</v>
      </c>
      <c r="P139" s="30">
        <f t="shared" si="5"/>
        <v>329402.25</v>
      </c>
    </row>
    <row r="140" spans="1:16" outlineLevel="2">
      <c r="A140" t="s">
        <v>880</v>
      </c>
      <c r="B140">
        <v>6</v>
      </c>
      <c r="C140" s="163" t="s">
        <v>881</v>
      </c>
      <c r="D140" s="30">
        <v>6351</v>
      </c>
      <c r="E140" s="30">
        <v>24720</v>
      </c>
      <c r="F140" s="30">
        <v>5120</v>
      </c>
      <c r="G140" s="30">
        <v>5568</v>
      </c>
      <c r="H140" s="30">
        <v>4814</v>
      </c>
      <c r="I140" s="30">
        <v>4574</v>
      </c>
      <c r="J140" s="30">
        <v>38118.400000000001</v>
      </c>
      <c r="K140" s="30">
        <v>13076</v>
      </c>
      <c r="L140" s="30">
        <v>41497</v>
      </c>
      <c r="M140" s="30">
        <v>12072</v>
      </c>
      <c r="N140" s="30">
        <v>43150.8</v>
      </c>
      <c r="O140" s="30">
        <v>1392</v>
      </c>
      <c r="P140" s="30">
        <f t="shared" si="5"/>
        <v>200453.2</v>
      </c>
    </row>
    <row r="141" spans="1:16" outlineLevel="2">
      <c r="A141" t="s">
        <v>882</v>
      </c>
      <c r="B141">
        <v>6</v>
      </c>
      <c r="C141" s="163" t="s">
        <v>883</v>
      </c>
      <c r="D141" s="30">
        <v>4686</v>
      </c>
      <c r="E141" s="30">
        <v>26512.09</v>
      </c>
      <c r="F141" s="30">
        <v>28442.32</v>
      </c>
      <c r="G141" s="30">
        <v>14632.929999999998</v>
      </c>
      <c r="H141" s="30">
        <v>15858.86</v>
      </c>
      <c r="I141" s="30">
        <v>16860.54</v>
      </c>
      <c r="J141" s="30">
        <v>27143.68</v>
      </c>
      <c r="K141" s="30">
        <v>24434.1</v>
      </c>
      <c r="L141" s="30">
        <v>39390.18</v>
      </c>
      <c r="M141" s="30">
        <v>56667.44</v>
      </c>
      <c r="N141" s="30">
        <v>16208.41</v>
      </c>
      <c r="O141" s="30">
        <v>15347.73</v>
      </c>
      <c r="P141" s="30">
        <f t="shared" si="5"/>
        <v>286184.27999999997</v>
      </c>
    </row>
    <row r="142" spans="1:16" outlineLevel="2">
      <c r="A142" t="s">
        <v>884</v>
      </c>
      <c r="B142">
        <v>6</v>
      </c>
      <c r="C142" s="163" t="s">
        <v>885</v>
      </c>
      <c r="D142" s="30">
        <v>0</v>
      </c>
      <c r="E142" s="30">
        <v>0</v>
      </c>
      <c r="F142" s="30">
        <v>0</v>
      </c>
      <c r="G142" s="30">
        <v>10010.19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f t="shared" si="5"/>
        <v>10010.19</v>
      </c>
    </row>
    <row r="143" spans="1:16" outlineLevel="2">
      <c r="A143" t="s">
        <v>886</v>
      </c>
      <c r="B143">
        <v>6</v>
      </c>
      <c r="C143" s="163" t="s">
        <v>887</v>
      </c>
      <c r="D143" s="30">
        <v>216500.08</v>
      </c>
      <c r="E143" s="30">
        <v>334019.34000000003</v>
      </c>
      <c r="F143" s="30">
        <v>458918.36</v>
      </c>
      <c r="G143" s="30">
        <v>212283.46</v>
      </c>
      <c r="H143" s="30">
        <v>511596.51</v>
      </c>
      <c r="I143" s="30">
        <v>372548.85</v>
      </c>
      <c r="J143" s="30">
        <v>310021.52</v>
      </c>
      <c r="K143" s="30">
        <v>278264.15000000002</v>
      </c>
      <c r="L143" s="30">
        <v>406745.91</v>
      </c>
      <c r="M143" s="30">
        <v>228415.14</v>
      </c>
      <c r="N143" s="30">
        <v>207774.58</v>
      </c>
      <c r="O143" s="30">
        <v>222452.42</v>
      </c>
      <c r="P143" s="30">
        <f t="shared" si="5"/>
        <v>3759540.3200000003</v>
      </c>
    </row>
    <row r="144" spans="1:16" outlineLevel="2">
      <c r="A144" t="s">
        <v>888</v>
      </c>
      <c r="B144">
        <v>6</v>
      </c>
      <c r="C144" s="163" t="s">
        <v>889</v>
      </c>
      <c r="D144" s="30">
        <v>0</v>
      </c>
      <c r="E144" s="30">
        <v>304937.5</v>
      </c>
      <c r="F144" s="30">
        <v>305437.5</v>
      </c>
      <c r="G144" s="30">
        <v>414750</v>
      </c>
      <c r="H144" s="30">
        <v>423637.5</v>
      </c>
      <c r="I144" s="30">
        <v>551562.5</v>
      </c>
      <c r="J144" s="30">
        <v>327937.5</v>
      </c>
      <c r="K144" s="30">
        <v>519062.5</v>
      </c>
      <c r="L144" s="30">
        <v>228875</v>
      </c>
      <c r="M144" s="30">
        <v>45750</v>
      </c>
      <c r="N144" s="30">
        <v>228875</v>
      </c>
      <c r="O144" s="30">
        <v>0</v>
      </c>
      <c r="P144" s="30">
        <f t="shared" si="5"/>
        <v>3350825</v>
      </c>
    </row>
    <row r="145" spans="1:16" outlineLevel="2">
      <c r="A145" t="s">
        <v>890</v>
      </c>
      <c r="B145">
        <v>6</v>
      </c>
      <c r="C145" s="163" t="s">
        <v>891</v>
      </c>
      <c r="D145" s="30">
        <v>4837.2</v>
      </c>
      <c r="E145" s="30">
        <v>100264.6</v>
      </c>
      <c r="F145" s="30">
        <v>25983.58</v>
      </c>
      <c r="G145" s="30">
        <v>14997</v>
      </c>
      <c r="H145" s="30">
        <v>105404.2</v>
      </c>
      <c r="I145" s="30">
        <v>49750.5</v>
      </c>
      <c r="J145" s="30">
        <v>68393</v>
      </c>
      <c r="K145" s="30">
        <v>91982.18</v>
      </c>
      <c r="L145" s="30">
        <v>99366.6</v>
      </c>
      <c r="M145" s="30">
        <v>41677</v>
      </c>
      <c r="N145" s="30">
        <v>55178</v>
      </c>
      <c r="O145" s="30">
        <v>76123.600000000006</v>
      </c>
      <c r="P145" s="30">
        <f t="shared" si="5"/>
        <v>733957.46</v>
      </c>
    </row>
    <row r="146" spans="1:16" outlineLevel="2">
      <c r="A146" t="s">
        <v>892</v>
      </c>
      <c r="B146">
        <v>6</v>
      </c>
      <c r="C146" s="163" t="s">
        <v>893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f t="shared" si="5"/>
        <v>0</v>
      </c>
    </row>
    <row r="147" spans="1:16" outlineLevel="2">
      <c r="A147" t="s">
        <v>894</v>
      </c>
      <c r="B147">
        <v>6</v>
      </c>
      <c r="C147" s="163" t="s">
        <v>895</v>
      </c>
      <c r="D147" s="30">
        <v>0</v>
      </c>
      <c r="E147" s="30">
        <v>0</v>
      </c>
      <c r="F147" s="30">
        <v>148932.44</v>
      </c>
      <c r="G147" s="30">
        <v>61440</v>
      </c>
      <c r="H147" s="30">
        <v>122880</v>
      </c>
      <c r="I147" s="30">
        <v>0</v>
      </c>
      <c r="J147" s="30">
        <v>20300</v>
      </c>
      <c r="K147" s="30">
        <v>0</v>
      </c>
      <c r="L147" s="30">
        <v>33600</v>
      </c>
      <c r="M147" s="30">
        <v>168000</v>
      </c>
      <c r="N147" s="30">
        <v>134400</v>
      </c>
      <c r="O147" s="30">
        <v>0</v>
      </c>
      <c r="P147" s="30">
        <f t="shared" si="5"/>
        <v>689552.44</v>
      </c>
    </row>
    <row r="148" spans="1:16" outlineLevel="2">
      <c r="A148" t="s">
        <v>896</v>
      </c>
      <c r="B148">
        <v>6</v>
      </c>
      <c r="C148" s="163" t="s">
        <v>897</v>
      </c>
      <c r="D148" s="30">
        <v>0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f t="shared" si="5"/>
        <v>0</v>
      </c>
    </row>
    <row r="149" spans="1:16" outlineLevel="2">
      <c r="A149" t="s">
        <v>898</v>
      </c>
      <c r="B149">
        <v>6</v>
      </c>
      <c r="C149" s="163" t="s">
        <v>899</v>
      </c>
      <c r="D149" s="30">
        <v>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f t="shared" si="5"/>
        <v>0</v>
      </c>
    </row>
    <row r="150" spans="1:16" outlineLevel="2">
      <c r="A150" t="s">
        <v>900</v>
      </c>
      <c r="B150">
        <v>6</v>
      </c>
      <c r="C150" s="163" t="s">
        <v>901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f t="shared" si="5"/>
        <v>0</v>
      </c>
    </row>
    <row r="151" spans="1:16" outlineLevel="2">
      <c r="A151" t="s">
        <v>902</v>
      </c>
      <c r="B151">
        <v>6</v>
      </c>
      <c r="C151" s="163" t="s">
        <v>903</v>
      </c>
      <c r="D151" s="30">
        <v>0</v>
      </c>
      <c r="E151" s="30">
        <v>0</v>
      </c>
      <c r="F151" s="30">
        <v>3016</v>
      </c>
      <c r="G151" s="30">
        <v>0</v>
      </c>
      <c r="H151" s="30">
        <v>0</v>
      </c>
      <c r="I151" s="30">
        <v>0</v>
      </c>
      <c r="J151" s="30">
        <v>27544.560000000001</v>
      </c>
      <c r="K151" s="30">
        <v>8616.5</v>
      </c>
      <c r="L151" s="30">
        <v>0</v>
      </c>
      <c r="M151" s="30">
        <v>163420.19</v>
      </c>
      <c r="N151" s="30">
        <v>91582</v>
      </c>
      <c r="O151" s="30">
        <v>146595</v>
      </c>
      <c r="P151" s="30">
        <f t="shared" si="5"/>
        <v>440774.25</v>
      </c>
    </row>
    <row r="152" spans="1:16" outlineLevel="2">
      <c r="A152" t="s">
        <v>904</v>
      </c>
      <c r="B152">
        <v>6</v>
      </c>
      <c r="C152" s="163" t="s">
        <v>905</v>
      </c>
      <c r="D152" s="30">
        <v>0</v>
      </c>
      <c r="E152" s="30">
        <v>0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f t="shared" si="5"/>
        <v>0</v>
      </c>
    </row>
    <row r="153" spans="1:16" outlineLevel="2">
      <c r="A153" t="s">
        <v>906</v>
      </c>
      <c r="B153">
        <v>6</v>
      </c>
      <c r="C153" s="163" t="s">
        <v>907</v>
      </c>
      <c r="D153" s="30">
        <v>0</v>
      </c>
      <c r="E153" s="30">
        <v>0</v>
      </c>
      <c r="F153" s="30">
        <v>0</v>
      </c>
      <c r="G153" s="30">
        <v>0</v>
      </c>
      <c r="H153" s="30">
        <v>1895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-1895</v>
      </c>
      <c r="P153" s="30">
        <f t="shared" si="5"/>
        <v>0</v>
      </c>
    </row>
    <row r="154" spans="1:16" outlineLevel="2">
      <c r="A154" t="s">
        <v>908</v>
      </c>
      <c r="B154">
        <v>6</v>
      </c>
      <c r="C154" s="163" t="s">
        <v>909</v>
      </c>
      <c r="D154" s="30">
        <v>0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f t="shared" si="5"/>
        <v>0</v>
      </c>
    </row>
    <row r="155" spans="1:16" outlineLevel="2">
      <c r="A155" t="s">
        <v>910</v>
      </c>
      <c r="B155">
        <v>6</v>
      </c>
      <c r="C155" s="163" t="s">
        <v>911</v>
      </c>
      <c r="D155" s="30">
        <v>2367.31</v>
      </c>
      <c r="E155" s="30">
        <v>3705.94</v>
      </c>
      <c r="F155" s="30">
        <v>6428.09</v>
      </c>
      <c r="G155" s="30">
        <v>944.75</v>
      </c>
      <c r="H155" s="30">
        <v>10528.83</v>
      </c>
      <c r="I155" s="30">
        <v>2895.02</v>
      </c>
      <c r="J155" s="30">
        <v>2005.17</v>
      </c>
      <c r="K155" s="30">
        <v>479.5</v>
      </c>
      <c r="L155" s="30">
        <v>1186.02</v>
      </c>
      <c r="M155" s="30">
        <v>1161.76</v>
      </c>
      <c r="N155" s="30">
        <v>768.95</v>
      </c>
      <c r="O155" s="30">
        <v>1500.34</v>
      </c>
      <c r="P155" s="30">
        <f t="shared" si="5"/>
        <v>33971.68</v>
      </c>
    </row>
    <row r="156" spans="1:16" outlineLevel="2">
      <c r="A156" t="s">
        <v>912</v>
      </c>
      <c r="B156">
        <v>6</v>
      </c>
      <c r="C156" s="163" t="s">
        <v>426</v>
      </c>
      <c r="D156" s="30">
        <v>380000</v>
      </c>
      <c r="E156" s="30">
        <v>0</v>
      </c>
      <c r="F156" s="30">
        <v>380000</v>
      </c>
      <c r="G156" s="30">
        <v>0</v>
      </c>
      <c r="H156" s="30">
        <v>0</v>
      </c>
      <c r="I156" s="30">
        <v>380000</v>
      </c>
      <c r="J156" s="30">
        <v>0</v>
      </c>
      <c r="K156" s="30">
        <v>380000</v>
      </c>
      <c r="L156" s="30">
        <v>0</v>
      </c>
      <c r="M156" s="30">
        <v>380000</v>
      </c>
      <c r="N156" s="30">
        <v>380000</v>
      </c>
      <c r="O156" s="30">
        <v>0</v>
      </c>
      <c r="P156" s="30">
        <f t="shared" si="5"/>
        <v>2280000</v>
      </c>
    </row>
    <row r="157" spans="1:16" outlineLevel="2">
      <c r="A157" t="s">
        <v>913</v>
      </c>
      <c r="B157">
        <v>6</v>
      </c>
      <c r="C157" s="163" t="s">
        <v>423</v>
      </c>
      <c r="D157" s="30">
        <v>15000</v>
      </c>
      <c r="E157" s="30">
        <v>151300</v>
      </c>
      <c r="F157" s="30">
        <v>139200</v>
      </c>
      <c r="G157" s="30">
        <v>0</v>
      </c>
      <c r="H157" s="30">
        <v>368900</v>
      </c>
      <c r="I157" s="30">
        <v>-15000</v>
      </c>
      <c r="J157" s="30">
        <v>116300</v>
      </c>
      <c r="K157" s="30">
        <v>0</v>
      </c>
      <c r="L157" s="30">
        <v>116935</v>
      </c>
      <c r="M157" s="30">
        <v>0</v>
      </c>
      <c r="N157" s="30">
        <v>0</v>
      </c>
      <c r="O157" s="30">
        <v>116300</v>
      </c>
      <c r="P157" s="30">
        <f t="shared" si="5"/>
        <v>1008935</v>
      </c>
    </row>
    <row r="158" spans="1:16" outlineLevel="2">
      <c r="A158" t="s">
        <v>914</v>
      </c>
      <c r="B158">
        <v>6</v>
      </c>
      <c r="C158" s="163" t="s">
        <v>915</v>
      </c>
      <c r="D158" s="30">
        <v>47536.41</v>
      </c>
      <c r="E158" s="30">
        <v>0</v>
      </c>
      <c r="F158" s="30">
        <v>1243519.3999999999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90000</v>
      </c>
      <c r="M158" s="30">
        <v>0</v>
      </c>
      <c r="N158" s="30">
        <v>0</v>
      </c>
      <c r="O158" s="30">
        <v>0</v>
      </c>
      <c r="P158" s="30">
        <f t="shared" ref="P158:P173" si="8">SUM(D158:O158)</f>
        <v>1381055.8099999998</v>
      </c>
    </row>
    <row r="159" spans="1:16" outlineLevel="2">
      <c r="A159" t="s">
        <v>916</v>
      </c>
      <c r="B159">
        <v>6</v>
      </c>
      <c r="C159" s="163" t="s">
        <v>917</v>
      </c>
      <c r="D159" s="30">
        <v>1644731.4</v>
      </c>
      <c r="E159" s="30">
        <v>0</v>
      </c>
      <c r="F159" s="30">
        <v>0</v>
      </c>
      <c r="G159" s="30">
        <v>0</v>
      </c>
      <c r="H159" s="30">
        <v>0</v>
      </c>
      <c r="I159" s="30">
        <v>16702.84</v>
      </c>
      <c r="J159" s="30">
        <v>0</v>
      </c>
      <c r="K159" s="30">
        <v>0</v>
      </c>
      <c r="L159" s="30">
        <v>3480</v>
      </c>
      <c r="M159" s="30">
        <v>0</v>
      </c>
      <c r="N159" s="30">
        <v>0</v>
      </c>
      <c r="O159" s="30">
        <v>1825862.2</v>
      </c>
      <c r="P159" s="30">
        <f t="shared" si="8"/>
        <v>3490776.44</v>
      </c>
    </row>
    <row r="160" spans="1:16" outlineLevel="2">
      <c r="A160" t="s">
        <v>918</v>
      </c>
      <c r="B160">
        <v>6</v>
      </c>
      <c r="C160" s="163" t="s">
        <v>919</v>
      </c>
      <c r="D160" s="30">
        <v>518.71</v>
      </c>
      <c r="E160" s="30">
        <v>552.16</v>
      </c>
      <c r="F160" s="30">
        <v>0</v>
      </c>
      <c r="G160" s="30">
        <v>89959.22</v>
      </c>
      <c r="H160" s="30">
        <v>316812.79999999999</v>
      </c>
      <c r="I160" s="30">
        <v>475111.07999999996</v>
      </c>
      <c r="J160" s="30">
        <v>127618.02</v>
      </c>
      <c r="K160" s="30">
        <v>306718.40000000002</v>
      </c>
      <c r="L160" s="30">
        <v>164253.70000000001</v>
      </c>
      <c r="M160" s="30">
        <v>14477.52</v>
      </c>
      <c r="N160" s="30">
        <v>102954.5</v>
      </c>
      <c r="O160" s="30">
        <v>0</v>
      </c>
      <c r="P160" s="30">
        <f t="shared" si="8"/>
        <v>1598976.11</v>
      </c>
    </row>
    <row r="161" spans="1:17" outlineLevel="2">
      <c r="A161" t="s">
        <v>920</v>
      </c>
      <c r="B161">
        <v>6</v>
      </c>
      <c r="C161" s="163" t="s">
        <v>921</v>
      </c>
      <c r="D161" s="30">
        <v>4652</v>
      </c>
      <c r="E161" s="30">
        <v>11320</v>
      </c>
      <c r="F161" s="30">
        <v>21120</v>
      </c>
      <c r="G161" s="30">
        <v>28588</v>
      </c>
      <c r="H161" s="30">
        <v>33073.5</v>
      </c>
      <c r="I161" s="30">
        <v>24832</v>
      </c>
      <c r="J161" s="30">
        <v>18062</v>
      </c>
      <c r="K161" s="30">
        <v>18428</v>
      </c>
      <c r="L161" s="30">
        <v>16770</v>
      </c>
      <c r="M161" s="30">
        <v>42425.56</v>
      </c>
      <c r="N161" s="30">
        <v>39147.17</v>
      </c>
      <c r="O161" s="30">
        <v>21901.02</v>
      </c>
      <c r="P161" s="30">
        <f t="shared" si="8"/>
        <v>280319.25</v>
      </c>
    </row>
    <row r="162" spans="1:17" outlineLevel="2">
      <c r="A162" t="s">
        <v>922</v>
      </c>
      <c r="B162">
        <v>6</v>
      </c>
      <c r="C162" s="163" t="s">
        <v>923</v>
      </c>
      <c r="D162" s="30">
        <v>0</v>
      </c>
      <c r="E162" s="30">
        <v>160100</v>
      </c>
      <c r="F162" s="30">
        <v>160100</v>
      </c>
      <c r="G162" s="30">
        <v>0</v>
      </c>
      <c r="H162" s="30">
        <v>160100</v>
      </c>
      <c r="I162" s="30">
        <v>132830</v>
      </c>
      <c r="J162" s="30">
        <v>208700</v>
      </c>
      <c r="K162" s="30">
        <v>30000</v>
      </c>
      <c r="L162" s="30">
        <v>160695.84000000003</v>
      </c>
      <c r="M162" s="30">
        <v>349780</v>
      </c>
      <c r="N162" s="30">
        <v>300102</v>
      </c>
      <c r="O162" s="30">
        <v>174890</v>
      </c>
      <c r="P162" s="30">
        <f t="shared" si="8"/>
        <v>1837297.84</v>
      </c>
    </row>
    <row r="163" spans="1:17" outlineLevel="2">
      <c r="A163" t="s">
        <v>924</v>
      </c>
      <c r="B163">
        <v>6</v>
      </c>
      <c r="C163" s="163" t="s">
        <v>925</v>
      </c>
      <c r="D163" s="30">
        <v>13920</v>
      </c>
      <c r="E163" s="30">
        <v>14012.8</v>
      </c>
      <c r="F163" s="30">
        <v>0</v>
      </c>
      <c r="G163" s="30">
        <v>0</v>
      </c>
      <c r="H163" s="30">
        <v>0</v>
      </c>
      <c r="I163" s="30">
        <v>860935.3</v>
      </c>
      <c r="J163" s="30">
        <v>394372.16</v>
      </c>
      <c r="K163" s="30">
        <v>645037.94999999995</v>
      </c>
      <c r="L163" s="30">
        <v>60581.96</v>
      </c>
      <c r="M163" s="30">
        <v>4959</v>
      </c>
      <c r="N163" s="30">
        <v>195389.24</v>
      </c>
      <c r="O163" s="30">
        <v>4466</v>
      </c>
      <c r="P163" s="30">
        <f t="shared" si="8"/>
        <v>2193674.41</v>
      </c>
    </row>
    <row r="164" spans="1:17" outlineLevel="2">
      <c r="A164" t="s">
        <v>926</v>
      </c>
      <c r="B164">
        <v>6</v>
      </c>
      <c r="C164" s="163" t="s">
        <v>927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f t="shared" si="8"/>
        <v>0</v>
      </c>
    </row>
    <row r="165" spans="1:17" outlineLevel="2">
      <c r="A165" t="s">
        <v>928</v>
      </c>
      <c r="B165">
        <v>6</v>
      </c>
      <c r="C165" s="163" t="s">
        <v>929</v>
      </c>
      <c r="D165" s="30">
        <v>6000</v>
      </c>
      <c r="E165" s="30">
        <v>8000</v>
      </c>
      <c r="F165" s="30">
        <v>11365.04</v>
      </c>
      <c r="G165" s="30">
        <v>0</v>
      </c>
      <c r="H165" s="30">
        <v>0</v>
      </c>
      <c r="I165" s="30">
        <v>522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f t="shared" si="8"/>
        <v>25887.040000000001</v>
      </c>
    </row>
    <row r="166" spans="1:17" outlineLevel="2">
      <c r="A166" t="s">
        <v>930</v>
      </c>
      <c r="B166">
        <v>6</v>
      </c>
      <c r="C166" s="163" t="s">
        <v>614</v>
      </c>
      <c r="D166" s="30">
        <v>26565.88</v>
      </c>
      <c r="E166" s="30">
        <v>30014</v>
      </c>
      <c r="F166" s="30">
        <v>33162.339999999997</v>
      </c>
      <c r="G166" s="30">
        <v>34437.279999999999</v>
      </c>
      <c r="H166" s="30">
        <v>36431.01</v>
      </c>
      <c r="I166" s="30">
        <v>116942.02</v>
      </c>
      <c r="J166" s="30">
        <v>49726.39</v>
      </c>
      <c r="K166" s="30">
        <v>109853.3</v>
      </c>
      <c r="L166" s="30">
        <v>60544.73</v>
      </c>
      <c r="M166" s="30">
        <v>87021</v>
      </c>
      <c r="N166" s="30">
        <v>39700</v>
      </c>
      <c r="O166" s="30">
        <v>61090.42</v>
      </c>
      <c r="P166" s="30">
        <f t="shared" si="8"/>
        <v>685488.37</v>
      </c>
    </row>
    <row r="167" spans="1:17" outlineLevel="2">
      <c r="A167" t="s">
        <v>931</v>
      </c>
      <c r="B167">
        <v>6</v>
      </c>
      <c r="C167" s="163" t="s">
        <v>932</v>
      </c>
      <c r="D167" s="30">
        <v>0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f t="shared" si="8"/>
        <v>0</v>
      </c>
    </row>
    <row r="168" spans="1:17" outlineLevel="2">
      <c r="A168" t="s">
        <v>1324</v>
      </c>
      <c r="B168">
        <v>6</v>
      </c>
      <c r="C168" s="287" t="s">
        <v>1325</v>
      </c>
      <c r="D168" s="30">
        <v>0</v>
      </c>
      <c r="E168" s="30">
        <v>0</v>
      </c>
      <c r="F168" s="30">
        <v>0</v>
      </c>
      <c r="G168" s="30">
        <v>0</v>
      </c>
      <c r="H168" s="30">
        <v>93000</v>
      </c>
      <c r="I168" s="30">
        <v>173500</v>
      </c>
      <c r="J168" s="30">
        <v>249462</v>
      </c>
      <c r="K168" s="30">
        <v>250497</v>
      </c>
      <c r="L168" s="30">
        <v>275238</v>
      </c>
      <c r="M168" s="30">
        <v>274434</v>
      </c>
      <c r="N168" s="30">
        <v>285495</v>
      </c>
      <c r="O168" s="30">
        <v>386747</v>
      </c>
      <c r="P168" s="30">
        <f t="shared" si="8"/>
        <v>1988373</v>
      </c>
    </row>
    <row r="169" spans="1:17" outlineLevel="2">
      <c r="A169" t="s">
        <v>933</v>
      </c>
      <c r="B169">
        <v>6</v>
      </c>
      <c r="C169" s="163" t="s">
        <v>934</v>
      </c>
      <c r="D169" s="30">
        <v>0</v>
      </c>
      <c r="E169" s="30">
        <v>0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f t="shared" si="8"/>
        <v>0</v>
      </c>
    </row>
    <row r="170" spans="1:17" outlineLevel="2">
      <c r="A170" t="s">
        <v>935</v>
      </c>
      <c r="B170">
        <v>6</v>
      </c>
      <c r="C170" s="163" t="s">
        <v>936</v>
      </c>
      <c r="D170" s="30">
        <v>0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f t="shared" si="8"/>
        <v>0</v>
      </c>
    </row>
    <row r="171" spans="1:17" outlineLevel="2">
      <c r="A171" t="s">
        <v>937</v>
      </c>
      <c r="B171">
        <v>6</v>
      </c>
      <c r="C171" s="163" t="s">
        <v>938</v>
      </c>
      <c r="D171" s="30">
        <v>0</v>
      </c>
      <c r="E171" s="30">
        <v>240000</v>
      </c>
      <c r="F171" s="30">
        <v>120000</v>
      </c>
      <c r="G171" s="30">
        <v>120000</v>
      </c>
      <c r="H171" s="30">
        <v>120000</v>
      </c>
      <c r="I171" s="30">
        <v>120000</v>
      </c>
      <c r="J171" s="30">
        <v>120000</v>
      </c>
      <c r="K171" s="30">
        <v>120000</v>
      </c>
      <c r="L171" s="30">
        <v>120000</v>
      </c>
      <c r="M171" s="30">
        <v>120000</v>
      </c>
      <c r="N171" s="30">
        <v>120000</v>
      </c>
      <c r="O171" s="30">
        <v>120000</v>
      </c>
      <c r="P171" s="30">
        <f t="shared" si="8"/>
        <v>1440000</v>
      </c>
    </row>
    <row r="172" spans="1:17" outlineLevel="2">
      <c r="A172" t="s">
        <v>939</v>
      </c>
      <c r="B172">
        <v>6</v>
      </c>
      <c r="C172" s="163" t="s">
        <v>940</v>
      </c>
      <c r="D172" s="30">
        <v>0</v>
      </c>
      <c r="E172" s="30">
        <v>0</v>
      </c>
      <c r="F172" s="30">
        <v>0</v>
      </c>
      <c r="G172" s="30">
        <v>0</v>
      </c>
      <c r="H172" s="30">
        <v>1200000</v>
      </c>
      <c r="I172" s="30">
        <v>0</v>
      </c>
      <c r="J172" s="30">
        <v>0</v>
      </c>
      <c r="K172" s="30">
        <v>0</v>
      </c>
      <c r="L172" s="30">
        <v>900000</v>
      </c>
      <c r="M172" s="30">
        <v>0</v>
      </c>
      <c r="N172" s="30">
        <v>900000</v>
      </c>
      <c r="O172" s="30">
        <v>0</v>
      </c>
      <c r="P172" s="30">
        <f t="shared" si="8"/>
        <v>3000000</v>
      </c>
    </row>
    <row r="173" spans="1:17" outlineLevel="2">
      <c r="A173" t="s">
        <v>1328</v>
      </c>
      <c r="B173">
        <v>6</v>
      </c>
      <c r="C173" s="287" t="s">
        <v>1329</v>
      </c>
      <c r="J173" s="30">
        <v>375000</v>
      </c>
      <c r="K173" s="30">
        <v>0</v>
      </c>
      <c r="L173" s="30">
        <v>0</v>
      </c>
      <c r="M173" s="30">
        <v>0</v>
      </c>
      <c r="N173" s="30">
        <v>375000</v>
      </c>
      <c r="O173" s="30">
        <v>1000000</v>
      </c>
      <c r="P173" s="30">
        <f t="shared" si="8"/>
        <v>1750000</v>
      </c>
    </row>
    <row r="174" spans="1:17" s="233" customFormat="1" ht="15" outlineLevel="1">
      <c r="B174" s="233" t="s">
        <v>941</v>
      </c>
      <c r="C174" s="235" t="s">
        <v>428</v>
      </c>
      <c r="D174" s="236">
        <f t="shared" ref="D174:P174" si="9">SUBTOTAL(9,D126:D172)</f>
        <v>3120594.8699999996</v>
      </c>
      <c r="E174" s="236">
        <f t="shared" si="9"/>
        <v>2216501.25</v>
      </c>
      <c r="F174" s="236">
        <f t="shared" si="9"/>
        <v>5370184.7399999993</v>
      </c>
      <c r="G174" s="236">
        <f t="shared" si="9"/>
        <v>1514156.73</v>
      </c>
      <c r="H174" s="236">
        <f t="shared" si="9"/>
        <v>4630647.93</v>
      </c>
      <c r="I174" s="236">
        <f t="shared" si="9"/>
        <v>5062908.4099999992</v>
      </c>
      <c r="J174" s="236">
        <f t="shared" ref="J174:O174" si="10">SUBTOTAL(9,J126:J173)</f>
        <v>3341836.7600000002</v>
      </c>
      <c r="K174" s="236">
        <f t="shared" si="10"/>
        <v>6073539.2800000003</v>
      </c>
      <c r="L174" s="236">
        <f t="shared" si="10"/>
        <v>4511376.74</v>
      </c>
      <c r="M174" s="236">
        <f t="shared" si="10"/>
        <v>3005855.24</v>
      </c>
      <c r="N174" s="236">
        <f t="shared" si="10"/>
        <v>4256352.0999999996</v>
      </c>
      <c r="O174" s="236">
        <f t="shared" si="10"/>
        <v>4969111.2799999993</v>
      </c>
      <c r="P174" s="236">
        <f t="shared" si="9"/>
        <v>46323065.329999998</v>
      </c>
      <c r="Q174" s="237"/>
    </row>
    <row r="175" spans="1:17" outlineLevel="2">
      <c r="A175" t="s">
        <v>942</v>
      </c>
      <c r="B175">
        <v>7</v>
      </c>
      <c r="C175" s="163" t="s">
        <v>943</v>
      </c>
      <c r="D175" s="30">
        <v>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f t="shared" ref="P175:P238" si="11">SUM(D175:O175)</f>
        <v>0</v>
      </c>
    </row>
    <row r="176" spans="1:17" outlineLevel="2">
      <c r="A176" t="s">
        <v>944</v>
      </c>
      <c r="B176">
        <v>7</v>
      </c>
      <c r="C176" s="163" t="s">
        <v>431</v>
      </c>
      <c r="D176" s="30">
        <v>25349.279999999999</v>
      </c>
      <c r="E176" s="30">
        <v>15174.539999999999</v>
      </c>
      <c r="F176" s="30">
        <v>7862.9499999999971</v>
      </c>
      <c r="G176" s="30">
        <v>95505.11</v>
      </c>
      <c r="H176" s="30">
        <v>202819.66</v>
      </c>
      <c r="I176" s="30">
        <v>240024.06000000003</v>
      </c>
      <c r="J176" s="30">
        <v>221120.04</v>
      </c>
      <c r="K176" s="30">
        <v>151605.75</v>
      </c>
      <c r="L176" s="30">
        <v>252565.22</v>
      </c>
      <c r="M176" s="30">
        <v>437460.98</v>
      </c>
      <c r="N176" s="30">
        <v>247333.51</v>
      </c>
      <c r="O176" s="30">
        <v>362208.68</v>
      </c>
      <c r="P176" s="30">
        <f t="shared" si="11"/>
        <v>2259029.7800000003</v>
      </c>
    </row>
    <row r="177" spans="1:16" outlineLevel="2">
      <c r="A177" t="s">
        <v>945</v>
      </c>
      <c r="B177">
        <v>7</v>
      </c>
      <c r="C177" s="163" t="s">
        <v>946</v>
      </c>
      <c r="D177" s="30">
        <v>0</v>
      </c>
      <c r="E177" s="30">
        <v>32538</v>
      </c>
      <c r="F177" s="30">
        <v>1362234.8</v>
      </c>
      <c r="G177" s="30">
        <v>383780</v>
      </c>
      <c r="H177" s="30">
        <v>181216.6</v>
      </c>
      <c r="I177" s="30">
        <v>98387.47</v>
      </c>
      <c r="J177" s="30">
        <v>140244</v>
      </c>
      <c r="K177" s="30">
        <v>73370</v>
      </c>
      <c r="L177" s="30">
        <v>6652.6</v>
      </c>
      <c r="M177" s="30">
        <v>24065.85</v>
      </c>
      <c r="N177" s="30">
        <v>0</v>
      </c>
      <c r="O177" s="30">
        <v>0</v>
      </c>
      <c r="P177" s="30">
        <f t="shared" si="11"/>
        <v>2302489.3200000003</v>
      </c>
    </row>
    <row r="178" spans="1:16" outlineLevel="2">
      <c r="A178" t="s">
        <v>947</v>
      </c>
      <c r="B178">
        <v>7</v>
      </c>
      <c r="C178" s="163" t="s">
        <v>432</v>
      </c>
      <c r="D178" s="30">
        <v>151177.31</v>
      </c>
      <c r="E178" s="30">
        <v>89796.6</v>
      </c>
      <c r="F178" s="30">
        <v>111996.52</v>
      </c>
      <c r="G178" s="30">
        <v>72693.919999999998</v>
      </c>
      <c r="H178" s="30">
        <v>184397.17</v>
      </c>
      <c r="I178" s="30">
        <v>104375.37</v>
      </c>
      <c r="J178" s="30">
        <v>137609.26999999999</v>
      </c>
      <c r="K178" s="30">
        <v>120876.42</v>
      </c>
      <c r="L178" s="30">
        <v>119480.96000000001</v>
      </c>
      <c r="M178" s="30">
        <v>427299.02999999997</v>
      </c>
      <c r="N178" s="30">
        <v>470382.12</v>
      </c>
      <c r="O178" s="30">
        <v>487773.16</v>
      </c>
      <c r="P178" s="30">
        <f t="shared" si="11"/>
        <v>2477857.85</v>
      </c>
    </row>
    <row r="179" spans="1:16" outlineLevel="2">
      <c r="A179" t="s">
        <v>948</v>
      </c>
      <c r="B179">
        <v>7</v>
      </c>
      <c r="C179" s="163" t="s">
        <v>430</v>
      </c>
      <c r="D179" s="30">
        <v>70667.59</v>
      </c>
      <c r="E179" s="30">
        <v>278210.24</v>
      </c>
      <c r="F179" s="30">
        <v>364648.46</v>
      </c>
      <c r="G179" s="30">
        <v>218067.19</v>
      </c>
      <c r="H179" s="30">
        <v>485004.62</v>
      </c>
      <c r="I179" s="30">
        <v>19166.099999999999</v>
      </c>
      <c r="J179" s="30">
        <v>51156</v>
      </c>
      <c r="K179" s="30">
        <v>55536</v>
      </c>
      <c r="L179" s="30">
        <v>0</v>
      </c>
      <c r="M179" s="30">
        <v>0</v>
      </c>
      <c r="N179" s="30">
        <v>0</v>
      </c>
      <c r="O179" s="30">
        <v>93969.45</v>
      </c>
      <c r="P179" s="30">
        <f t="shared" si="11"/>
        <v>1636425.6500000001</v>
      </c>
    </row>
    <row r="180" spans="1:16" outlineLevel="2">
      <c r="A180" t="s">
        <v>949</v>
      </c>
      <c r="B180">
        <v>7</v>
      </c>
      <c r="C180" s="163" t="s">
        <v>950</v>
      </c>
      <c r="D180" s="30">
        <v>6380</v>
      </c>
      <c r="E180" s="30">
        <v>45779.4</v>
      </c>
      <c r="F180" s="30">
        <v>0</v>
      </c>
      <c r="G180" s="30">
        <v>0</v>
      </c>
      <c r="H180" s="30">
        <v>818261.02</v>
      </c>
      <c r="I180" s="30">
        <v>474007.45</v>
      </c>
      <c r="J180" s="30">
        <v>191443.79</v>
      </c>
      <c r="K180" s="30">
        <v>554748</v>
      </c>
      <c r="L180" s="30">
        <v>89136.79</v>
      </c>
      <c r="M180" s="30">
        <v>6530</v>
      </c>
      <c r="N180" s="30">
        <v>0</v>
      </c>
      <c r="O180" s="30">
        <v>0</v>
      </c>
      <c r="P180" s="30">
        <f t="shared" si="11"/>
        <v>2186286.4500000002</v>
      </c>
    </row>
    <row r="181" spans="1:16" outlineLevel="2">
      <c r="A181" t="s">
        <v>951</v>
      </c>
      <c r="B181">
        <v>7</v>
      </c>
      <c r="C181" s="163" t="s">
        <v>952</v>
      </c>
      <c r="D181" s="30">
        <v>5872.5</v>
      </c>
      <c r="E181" s="30">
        <v>110461</v>
      </c>
      <c r="F181" s="30">
        <v>0</v>
      </c>
      <c r="G181" s="30">
        <v>0</v>
      </c>
      <c r="H181" s="30">
        <v>1161918</v>
      </c>
      <c r="I181" s="30">
        <v>22989</v>
      </c>
      <c r="J181" s="30">
        <v>77558.179999999993</v>
      </c>
      <c r="K181" s="30">
        <v>11652.03</v>
      </c>
      <c r="L181" s="30">
        <v>12220.6</v>
      </c>
      <c r="M181" s="30">
        <v>45347.88</v>
      </c>
      <c r="N181" s="30">
        <v>20369.599999999999</v>
      </c>
      <c r="O181" s="30">
        <v>0</v>
      </c>
      <c r="P181" s="30">
        <f t="shared" si="11"/>
        <v>1468388.79</v>
      </c>
    </row>
    <row r="182" spans="1:16" outlineLevel="2">
      <c r="A182" t="s">
        <v>953</v>
      </c>
      <c r="B182">
        <v>7</v>
      </c>
      <c r="C182" s="163" t="s">
        <v>954</v>
      </c>
      <c r="D182" s="30">
        <v>0</v>
      </c>
      <c r="E182" s="30">
        <v>0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f t="shared" si="11"/>
        <v>0</v>
      </c>
    </row>
    <row r="183" spans="1:16" outlineLevel="2">
      <c r="A183" t="s">
        <v>955</v>
      </c>
      <c r="B183">
        <v>7</v>
      </c>
      <c r="C183" s="163" t="s">
        <v>956</v>
      </c>
      <c r="D183" s="30">
        <v>136497.20000000001</v>
      </c>
      <c r="E183" s="30">
        <v>48604</v>
      </c>
      <c r="F183" s="30">
        <v>17690</v>
      </c>
      <c r="G183" s="30">
        <v>4408</v>
      </c>
      <c r="H183" s="30">
        <v>0</v>
      </c>
      <c r="I183" s="30">
        <v>0</v>
      </c>
      <c r="J183" s="30">
        <v>11379.6</v>
      </c>
      <c r="K183" s="30">
        <v>2320</v>
      </c>
      <c r="L183" s="30">
        <v>1418659.8</v>
      </c>
      <c r="M183" s="30">
        <v>380846.41</v>
      </c>
      <c r="N183" s="30">
        <v>119692.24</v>
      </c>
      <c r="O183" s="30">
        <v>43574.400000000001</v>
      </c>
      <c r="P183" s="30">
        <f t="shared" si="11"/>
        <v>2183671.65</v>
      </c>
    </row>
    <row r="184" spans="1:16" outlineLevel="2">
      <c r="A184" t="s">
        <v>957</v>
      </c>
      <c r="B184">
        <v>7</v>
      </c>
      <c r="C184" s="163" t="s">
        <v>958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281.93</v>
      </c>
      <c r="P184" s="30">
        <f t="shared" si="11"/>
        <v>281.93</v>
      </c>
    </row>
    <row r="185" spans="1:16" outlineLevel="2">
      <c r="A185" t="s">
        <v>959</v>
      </c>
      <c r="B185">
        <v>7</v>
      </c>
      <c r="C185" s="163" t="s">
        <v>960</v>
      </c>
      <c r="D185" s="30">
        <v>140419.28</v>
      </c>
      <c r="E185" s="30">
        <v>95004</v>
      </c>
      <c r="F185" s="30">
        <v>8050</v>
      </c>
      <c r="G185" s="30">
        <v>0</v>
      </c>
      <c r="H185" s="30">
        <v>50630.3</v>
      </c>
      <c r="I185" s="30">
        <v>0</v>
      </c>
      <c r="J185" s="30">
        <v>1263.3800000000001</v>
      </c>
      <c r="K185" s="30">
        <v>0</v>
      </c>
      <c r="L185" s="30">
        <v>2146</v>
      </c>
      <c r="M185" s="30">
        <v>19248.05</v>
      </c>
      <c r="N185" s="30">
        <v>1844327.42</v>
      </c>
      <c r="O185" s="30">
        <v>1359865.84</v>
      </c>
      <c r="P185" s="30">
        <f t="shared" si="11"/>
        <v>3520954.2699999996</v>
      </c>
    </row>
    <row r="186" spans="1:16" outlineLevel="2">
      <c r="A186" t="s">
        <v>961</v>
      </c>
      <c r="B186">
        <v>7</v>
      </c>
      <c r="C186" s="163" t="s">
        <v>962</v>
      </c>
      <c r="D186" s="30">
        <v>0</v>
      </c>
      <c r="E186" s="30">
        <v>2744</v>
      </c>
      <c r="F186" s="30">
        <v>0</v>
      </c>
      <c r="G186" s="30">
        <v>72522</v>
      </c>
      <c r="H186" s="30">
        <v>0</v>
      </c>
      <c r="I186" s="30">
        <v>37899.519999999997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6090</v>
      </c>
      <c r="P186" s="30">
        <f t="shared" si="11"/>
        <v>119255.51999999999</v>
      </c>
    </row>
    <row r="187" spans="1:16" outlineLevel="2">
      <c r="A187" t="s">
        <v>963</v>
      </c>
      <c r="B187">
        <v>7</v>
      </c>
      <c r="C187" s="163" t="s">
        <v>964</v>
      </c>
      <c r="D187" s="30">
        <v>0</v>
      </c>
      <c r="E187" s="30">
        <v>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f t="shared" si="11"/>
        <v>0</v>
      </c>
    </row>
    <row r="188" spans="1:16" outlineLevel="2">
      <c r="A188" t="s">
        <v>965</v>
      </c>
      <c r="B188">
        <v>7</v>
      </c>
      <c r="C188" s="163" t="s">
        <v>966</v>
      </c>
      <c r="D188" s="30">
        <v>0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f t="shared" si="11"/>
        <v>0</v>
      </c>
    </row>
    <row r="189" spans="1:16" outlineLevel="2">
      <c r="A189" t="s">
        <v>967</v>
      </c>
      <c r="B189">
        <v>7</v>
      </c>
      <c r="C189" s="163" t="s">
        <v>968</v>
      </c>
      <c r="D189" s="30">
        <v>38257.54</v>
      </c>
      <c r="E189" s="30">
        <v>114242.92</v>
      </c>
      <c r="F189" s="30">
        <v>102668.87</v>
      </c>
      <c r="G189" s="30">
        <v>9451.99</v>
      </c>
      <c r="H189" s="30">
        <v>146812.54999999999</v>
      </c>
      <c r="I189" s="30">
        <v>55250.520000000004</v>
      </c>
      <c r="J189" s="30">
        <v>57703.53</v>
      </c>
      <c r="K189" s="30">
        <v>61668.24</v>
      </c>
      <c r="L189" s="30">
        <v>47122.68</v>
      </c>
      <c r="M189" s="30">
        <v>47209.59</v>
      </c>
      <c r="N189" s="30">
        <v>44603.73</v>
      </c>
      <c r="O189" s="30">
        <v>12422.48</v>
      </c>
      <c r="P189" s="30">
        <f t="shared" si="11"/>
        <v>737414.64</v>
      </c>
    </row>
    <row r="190" spans="1:16" outlineLevel="2">
      <c r="A190" t="s">
        <v>969</v>
      </c>
      <c r="B190">
        <v>7</v>
      </c>
      <c r="C190" s="163" t="s">
        <v>970</v>
      </c>
      <c r="D190" s="30">
        <v>204624.4</v>
      </c>
      <c r="E190" s="30">
        <v>135693.84</v>
      </c>
      <c r="F190" s="30">
        <v>167934.07</v>
      </c>
      <c r="G190" s="30">
        <v>91466.47</v>
      </c>
      <c r="H190" s="30">
        <v>669527.99</v>
      </c>
      <c r="I190" s="30">
        <v>131213.41</v>
      </c>
      <c r="J190" s="30">
        <v>106399.35</v>
      </c>
      <c r="K190" s="30">
        <v>50328.35</v>
      </c>
      <c r="L190" s="30">
        <v>736257.84</v>
      </c>
      <c r="M190" s="30">
        <v>262694.64</v>
      </c>
      <c r="N190" s="30">
        <v>136983.28</v>
      </c>
      <c r="O190" s="30">
        <v>164183.85999999999</v>
      </c>
      <c r="P190" s="30">
        <f t="shared" si="11"/>
        <v>2857307.5</v>
      </c>
    </row>
    <row r="191" spans="1:16" outlineLevel="2">
      <c r="A191" t="s">
        <v>971</v>
      </c>
      <c r="B191">
        <v>7</v>
      </c>
      <c r="C191" s="163" t="s">
        <v>972</v>
      </c>
      <c r="D191" s="30">
        <v>2209.8000000000002</v>
      </c>
      <c r="E191" s="30">
        <v>107697.51</v>
      </c>
      <c r="F191" s="30">
        <v>69056.490000000005</v>
      </c>
      <c r="G191" s="30">
        <v>7714</v>
      </c>
      <c r="H191" s="30">
        <v>6137.5</v>
      </c>
      <c r="I191" s="30">
        <v>1035.3</v>
      </c>
      <c r="J191" s="30">
        <v>10150</v>
      </c>
      <c r="K191" s="30">
        <v>40000</v>
      </c>
      <c r="L191" s="30">
        <v>309496</v>
      </c>
      <c r="M191" s="30">
        <v>6960</v>
      </c>
      <c r="N191" s="30">
        <v>1025.45</v>
      </c>
      <c r="O191" s="30">
        <v>327855.87</v>
      </c>
      <c r="P191" s="30">
        <f t="shared" si="11"/>
        <v>889337.91999999993</v>
      </c>
    </row>
    <row r="192" spans="1:16" outlineLevel="2">
      <c r="A192" t="s">
        <v>973</v>
      </c>
      <c r="B192">
        <v>7</v>
      </c>
      <c r="C192" s="163" t="s">
        <v>974</v>
      </c>
      <c r="D192" s="30">
        <v>0</v>
      </c>
      <c r="E192" s="30">
        <v>20184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f t="shared" si="11"/>
        <v>20184</v>
      </c>
    </row>
    <row r="193" spans="1:16" outlineLevel="2">
      <c r="A193" t="s">
        <v>975</v>
      </c>
      <c r="B193">
        <v>7</v>
      </c>
      <c r="C193" s="163" t="s">
        <v>976</v>
      </c>
      <c r="D193" s="30">
        <v>0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f t="shared" si="11"/>
        <v>0</v>
      </c>
    </row>
    <row r="194" spans="1:16" outlineLevel="2">
      <c r="A194" t="s">
        <v>977</v>
      </c>
      <c r="B194">
        <v>7</v>
      </c>
      <c r="C194" s="163" t="s">
        <v>978</v>
      </c>
      <c r="D194" s="30">
        <v>10382</v>
      </c>
      <c r="E194" s="30">
        <v>15346.8</v>
      </c>
      <c r="F194" s="30">
        <v>102182.29</v>
      </c>
      <c r="G194" s="30">
        <v>26060.560000000001</v>
      </c>
      <c r="H194" s="30">
        <v>98309.42</v>
      </c>
      <c r="I194" s="30">
        <v>38107.699999999997</v>
      </c>
      <c r="J194" s="30">
        <v>31708.6</v>
      </c>
      <c r="K194" s="30">
        <v>18654.96</v>
      </c>
      <c r="L194" s="30">
        <v>3949.8</v>
      </c>
      <c r="M194" s="30">
        <v>24882</v>
      </c>
      <c r="N194" s="30">
        <v>1039.3599999999999</v>
      </c>
      <c r="O194" s="30">
        <v>-3682.3</v>
      </c>
      <c r="P194" s="30">
        <f t="shared" si="11"/>
        <v>366941.19</v>
      </c>
    </row>
    <row r="195" spans="1:16" outlineLevel="2">
      <c r="A195" t="s">
        <v>979</v>
      </c>
      <c r="B195">
        <v>7</v>
      </c>
      <c r="C195" s="163" t="s">
        <v>365</v>
      </c>
      <c r="D195" s="30">
        <v>0</v>
      </c>
      <c r="E195" s="30">
        <v>6027.95</v>
      </c>
      <c r="F195" s="30">
        <v>0</v>
      </c>
      <c r="G195" s="30">
        <v>0</v>
      </c>
      <c r="H195" s="30">
        <v>1281.57</v>
      </c>
      <c r="I195" s="30">
        <v>0</v>
      </c>
      <c r="J195" s="30">
        <v>0</v>
      </c>
      <c r="K195" s="30">
        <v>5251.98</v>
      </c>
      <c r="L195" s="30">
        <v>0</v>
      </c>
      <c r="M195" s="30">
        <v>2026.06</v>
      </c>
      <c r="N195" s="30">
        <v>0</v>
      </c>
      <c r="O195" s="30">
        <v>0</v>
      </c>
      <c r="P195" s="30">
        <f t="shared" si="11"/>
        <v>14587.56</v>
      </c>
    </row>
    <row r="196" spans="1:16" outlineLevel="2">
      <c r="A196" t="s">
        <v>980</v>
      </c>
      <c r="B196">
        <v>7</v>
      </c>
      <c r="C196" s="163" t="s">
        <v>981</v>
      </c>
      <c r="D196" s="30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f t="shared" si="11"/>
        <v>0</v>
      </c>
    </row>
    <row r="197" spans="1:16" outlineLevel="2">
      <c r="A197" t="s">
        <v>982</v>
      </c>
      <c r="B197">
        <v>7</v>
      </c>
      <c r="C197" s="163" t="s">
        <v>983</v>
      </c>
      <c r="D197" s="30">
        <v>48232.53</v>
      </c>
      <c r="E197" s="30">
        <v>11489.8</v>
      </c>
      <c r="F197" s="30">
        <v>238704.8</v>
      </c>
      <c r="G197" s="30">
        <v>12702.2</v>
      </c>
      <c r="H197" s="30">
        <v>84462.8</v>
      </c>
      <c r="I197" s="30">
        <v>113065.08</v>
      </c>
      <c r="J197" s="30">
        <v>47000.800000000003</v>
      </c>
      <c r="K197" s="30">
        <v>27782.720000000001</v>
      </c>
      <c r="L197" s="30">
        <v>42748.32</v>
      </c>
      <c r="M197" s="30">
        <v>84020.45</v>
      </c>
      <c r="N197" s="30">
        <v>36090.769999999997</v>
      </c>
      <c r="O197" s="30">
        <v>1658.8</v>
      </c>
      <c r="P197" s="30">
        <f t="shared" si="11"/>
        <v>747959.07</v>
      </c>
    </row>
    <row r="198" spans="1:16" outlineLevel="2">
      <c r="A198" t="s">
        <v>984</v>
      </c>
      <c r="B198">
        <v>7</v>
      </c>
      <c r="C198" s="163" t="s">
        <v>985</v>
      </c>
      <c r="D198" s="30">
        <v>0</v>
      </c>
      <c r="E198" s="30">
        <v>0</v>
      </c>
      <c r="F198" s="30">
        <v>142200</v>
      </c>
      <c r="G198" s="30">
        <v>3364</v>
      </c>
      <c r="H198" s="30">
        <v>19008.310000000001</v>
      </c>
      <c r="I198" s="30">
        <v>6756.5</v>
      </c>
      <c r="J198" s="30">
        <v>20317.400000000001</v>
      </c>
      <c r="K198" s="30">
        <v>27028</v>
      </c>
      <c r="L198" s="30">
        <v>0</v>
      </c>
      <c r="M198" s="30">
        <v>28710</v>
      </c>
      <c r="N198" s="30">
        <v>0</v>
      </c>
      <c r="O198" s="30">
        <v>0</v>
      </c>
      <c r="P198" s="30">
        <f t="shared" si="11"/>
        <v>247384.21</v>
      </c>
    </row>
    <row r="199" spans="1:16" outlineLevel="2">
      <c r="A199" t="s">
        <v>986</v>
      </c>
      <c r="B199">
        <v>7</v>
      </c>
      <c r="C199" s="163" t="s">
        <v>987</v>
      </c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f t="shared" si="11"/>
        <v>0</v>
      </c>
    </row>
    <row r="200" spans="1:16" outlineLevel="2">
      <c r="A200" t="s">
        <v>988</v>
      </c>
      <c r="B200">
        <v>7</v>
      </c>
      <c r="C200" s="163" t="s">
        <v>989</v>
      </c>
      <c r="D200" s="30">
        <v>0</v>
      </c>
      <c r="E200" s="30">
        <v>2800</v>
      </c>
      <c r="F200" s="30">
        <v>0</v>
      </c>
      <c r="G200" s="30">
        <v>35250.25</v>
      </c>
      <c r="H200" s="30">
        <v>165838.29</v>
      </c>
      <c r="I200" s="30">
        <v>197031.08</v>
      </c>
      <c r="J200" s="30">
        <v>61265.4</v>
      </c>
      <c r="K200" s="30">
        <v>7076</v>
      </c>
      <c r="L200" s="30">
        <v>63046</v>
      </c>
      <c r="M200" s="30">
        <v>25984</v>
      </c>
      <c r="N200" s="30">
        <v>0</v>
      </c>
      <c r="O200" s="30">
        <v>0</v>
      </c>
      <c r="P200" s="30">
        <f t="shared" si="11"/>
        <v>558291.02</v>
      </c>
    </row>
    <row r="201" spans="1:16" outlineLevel="2">
      <c r="A201" t="s">
        <v>990</v>
      </c>
      <c r="B201">
        <v>7</v>
      </c>
      <c r="C201" s="163" t="s">
        <v>991</v>
      </c>
      <c r="D201" s="30">
        <v>0</v>
      </c>
      <c r="E201" s="30">
        <v>0</v>
      </c>
      <c r="F201" s="30">
        <v>0</v>
      </c>
      <c r="G201" s="30">
        <v>1007.82</v>
      </c>
      <c r="H201" s="30">
        <v>1251.72</v>
      </c>
      <c r="I201" s="30">
        <v>1437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f t="shared" si="11"/>
        <v>3696.54</v>
      </c>
    </row>
    <row r="202" spans="1:16" outlineLevel="2">
      <c r="A202" t="s">
        <v>992</v>
      </c>
      <c r="B202">
        <v>7</v>
      </c>
      <c r="C202" s="163" t="s">
        <v>993</v>
      </c>
      <c r="D202" s="30">
        <v>0</v>
      </c>
      <c r="E202" s="30">
        <v>0</v>
      </c>
      <c r="F202" s="30">
        <v>0</v>
      </c>
      <c r="G202" s="30">
        <v>0</v>
      </c>
      <c r="H202" s="30">
        <v>1158.7</v>
      </c>
      <c r="I202" s="30">
        <v>1589.11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f t="shared" si="11"/>
        <v>2747.81</v>
      </c>
    </row>
    <row r="203" spans="1:16" outlineLevel="2">
      <c r="A203" t="s">
        <v>994</v>
      </c>
      <c r="B203">
        <v>7</v>
      </c>
      <c r="C203" s="163" t="s">
        <v>995</v>
      </c>
      <c r="D203" s="30">
        <v>0</v>
      </c>
      <c r="E203" s="30">
        <v>0</v>
      </c>
      <c r="F203" s="30">
        <v>0</v>
      </c>
      <c r="G203" s="30">
        <v>5800</v>
      </c>
      <c r="H203" s="30">
        <v>231488.84</v>
      </c>
      <c r="I203" s="30">
        <v>8700</v>
      </c>
      <c r="J203" s="30">
        <v>6380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f t="shared" si="11"/>
        <v>252368.84</v>
      </c>
    </row>
    <row r="204" spans="1:16" outlineLevel="2">
      <c r="A204" t="s">
        <v>996</v>
      </c>
      <c r="B204">
        <v>7</v>
      </c>
      <c r="C204" s="163" t="s">
        <v>997</v>
      </c>
      <c r="D204" s="30">
        <v>56887.3</v>
      </c>
      <c r="E204" s="30">
        <v>38964.01</v>
      </c>
      <c r="F204" s="30">
        <v>76332.09</v>
      </c>
      <c r="G204" s="30">
        <v>3786.98</v>
      </c>
      <c r="H204" s="30">
        <v>136079.6</v>
      </c>
      <c r="I204" s="30">
        <v>2967.63</v>
      </c>
      <c r="J204" s="30">
        <v>0</v>
      </c>
      <c r="K204" s="30">
        <v>0</v>
      </c>
      <c r="L204" s="30">
        <v>0</v>
      </c>
      <c r="M204" s="30">
        <v>853.04</v>
      </c>
      <c r="N204" s="30">
        <v>73597.87</v>
      </c>
      <c r="O204" s="30">
        <v>37844.79</v>
      </c>
      <c r="P204" s="30">
        <f t="shared" si="11"/>
        <v>427313.30999999994</v>
      </c>
    </row>
    <row r="205" spans="1:16" outlineLevel="2">
      <c r="A205" t="s">
        <v>998</v>
      </c>
      <c r="B205">
        <v>7</v>
      </c>
      <c r="C205" s="163" t="s">
        <v>999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f t="shared" si="11"/>
        <v>0</v>
      </c>
    </row>
    <row r="206" spans="1:16" outlineLevel="2">
      <c r="A206" t="s">
        <v>1000</v>
      </c>
      <c r="B206">
        <v>7</v>
      </c>
      <c r="C206" s="163" t="s">
        <v>1001</v>
      </c>
      <c r="D206" s="30">
        <v>42511.27</v>
      </c>
      <c r="E206" s="30">
        <v>50407.15</v>
      </c>
      <c r="F206" s="30">
        <v>27932.45</v>
      </c>
      <c r="G206" s="30">
        <v>24673.200000000001</v>
      </c>
      <c r="H206" s="30">
        <v>30413.21</v>
      </c>
      <c r="I206" s="30">
        <v>0</v>
      </c>
      <c r="J206" s="30">
        <v>29626.400000000001</v>
      </c>
      <c r="K206" s="30">
        <v>235029.31</v>
      </c>
      <c r="L206" s="30">
        <v>27210.059999999998</v>
      </c>
      <c r="M206" s="30">
        <v>54858.51</v>
      </c>
      <c r="N206" s="30">
        <v>3561.1299999999974</v>
      </c>
      <c r="O206" s="30">
        <v>264897.3</v>
      </c>
      <c r="P206" s="30">
        <f t="shared" si="11"/>
        <v>791119.99</v>
      </c>
    </row>
    <row r="207" spans="1:16" outlineLevel="2">
      <c r="A207" t="s">
        <v>1002</v>
      </c>
      <c r="B207">
        <v>7</v>
      </c>
      <c r="C207" s="163" t="s">
        <v>1003</v>
      </c>
      <c r="D207" s="30">
        <v>1245.8399999999999</v>
      </c>
      <c r="E207" s="30">
        <v>23782.09</v>
      </c>
      <c r="F207" s="30">
        <v>0</v>
      </c>
      <c r="G207" s="30">
        <v>50809.74</v>
      </c>
      <c r="H207" s="30">
        <v>2598.4</v>
      </c>
      <c r="I207" s="30">
        <v>0</v>
      </c>
      <c r="J207" s="30">
        <v>21923.61</v>
      </c>
      <c r="K207" s="30">
        <v>9351.27</v>
      </c>
      <c r="L207" s="30">
        <v>0</v>
      </c>
      <c r="M207" s="30">
        <v>0</v>
      </c>
      <c r="N207" s="30">
        <v>0</v>
      </c>
      <c r="O207" s="30">
        <v>0</v>
      </c>
      <c r="P207" s="30">
        <f t="shared" si="11"/>
        <v>109710.95</v>
      </c>
    </row>
    <row r="208" spans="1:16" outlineLevel="2">
      <c r="A208" t="s">
        <v>1004</v>
      </c>
      <c r="B208">
        <v>7</v>
      </c>
      <c r="C208" s="163" t="s">
        <v>1005</v>
      </c>
      <c r="D208" s="30">
        <v>2470.8000000000002</v>
      </c>
      <c r="E208" s="30">
        <v>51504</v>
      </c>
      <c r="F208" s="30">
        <v>1392</v>
      </c>
      <c r="G208" s="30">
        <v>0</v>
      </c>
      <c r="H208" s="30">
        <v>812</v>
      </c>
      <c r="I208" s="30">
        <v>1470.88</v>
      </c>
      <c r="J208" s="30">
        <v>48894</v>
      </c>
      <c r="K208" s="30">
        <v>5220</v>
      </c>
      <c r="L208" s="30">
        <v>20000</v>
      </c>
      <c r="M208" s="30">
        <v>5568</v>
      </c>
      <c r="N208" s="30">
        <v>55854</v>
      </c>
      <c r="O208" s="30">
        <v>0</v>
      </c>
      <c r="P208" s="30">
        <f t="shared" si="11"/>
        <v>193185.68</v>
      </c>
    </row>
    <row r="209" spans="1:17" outlineLevel="2">
      <c r="A209" t="s">
        <v>1006</v>
      </c>
      <c r="B209">
        <v>7</v>
      </c>
      <c r="C209" s="163" t="s">
        <v>1007</v>
      </c>
      <c r="D209" s="30">
        <v>0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f t="shared" si="11"/>
        <v>0</v>
      </c>
    </row>
    <row r="210" spans="1:17" outlineLevel="2">
      <c r="A210" t="s">
        <v>1008</v>
      </c>
      <c r="B210">
        <v>7</v>
      </c>
      <c r="C210" s="163" t="s">
        <v>1007</v>
      </c>
      <c r="D210" s="30">
        <v>0</v>
      </c>
      <c r="E210" s="30">
        <v>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f t="shared" si="11"/>
        <v>0</v>
      </c>
    </row>
    <row r="211" spans="1:17" outlineLevel="2">
      <c r="A211" t="s">
        <v>1009</v>
      </c>
      <c r="B211">
        <v>7</v>
      </c>
      <c r="C211" s="163" t="s">
        <v>1010</v>
      </c>
      <c r="D211" s="30">
        <v>7210.72</v>
      </c>
      <c r="E211" s="30">
        <v>25241.599999999999</v>
      </c>
      <c r="F211" s="30">
        <v>0</v>
      </c>
      <c r="G211" s="30">
        <v>0</v>
      </c>
      <c r="H211" s="30">
        <v>742.4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263437.2</v>
      </c>
      <c r="P211" s="30">
        <f t="shared" si="11"/>
        <v>296631.92000000004</v>
      </c>
    </row>
    <row r="212" spans="1:17" outlineLevel="2">
      <c r="A212" t="s">
        <v>1011</v>
      </c>
      <c r="B212">
        <v>7</v>
      </c>
      <c r="C212" s="163" t="s">
        <v>1012</v>
      </c>
      <c r="D212" s="30">
        <v>7693.35</v>
      </c>
      <c r="E212" s="30">
        <v>8572.98</v>
      </c>
      <c r="F212" s="30">
        <v>540</v>
      </c>
      <c r="G212" s="30">
        <v>40252</v>
      </c>
      <c r="H212" s="30">
        <v>104864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24000</v>
      </c>
      <c r="O212" s="30">
        <v>9680.7099999999991</v>
      </c>
      <c r="P212" s="30">
        <f t="shared" si="11"/>
        <v>195603.04</v>
      </c>
    </row>
    <row r="213" spans="1:17" outlineLevel="2">
      <c r="A213" t="s">
        <v>1013</v>
      </c>
      <c r="B213">
        <v>7</v>
      </c>
      <c r="C213" s="163" t="s">
        <v>1014</v>
      </c>
      <c r="D213" s="30">
        <v>0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f t="shared" si="11"/>
        <v>0</v>
      </c>
    </row>
    <row r="214" spans="1:17" outlineLevel="2">
      <c r="A214" t="s">
        <v>1015</v>
      </c>
      <c r="B214">
        <v>7</v>
      </c>
      <c r="C214" s="163" t="s">
        <v>1016</v>
      </c>
      <c r="D214" s="30">
        <v>16472</v>
      </c>
      <c r="E214" s="30">
        <v>18560</v>
      </c>
      <c r="F214" s="30">
        <v>0</v>
      </c>
      <c r="G214" s="30">
        <v>9280</v>
      </c>
      <c r="H214" s="30">
        <v>780.09</v>
      </c>
      <c r="I214" s="30">
        <v>2842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f t="shared" si="11"/>
        <v>47934.09</v>
      </c>
    </row>
    <row r="215" spans="1:17" outlineLevel="2">
      <c r="A215" t="s">
        <v>1017</v>
      </c>
      <c r="B215">
        <v>7</v>
      </c>
      <c r="C215" s="163" t="s">
        <v>1018</v>
      </c>
      <c r="D215" s="30">
        <v>9414.56</v>
      </c>
      <c r="E215" s="30">
        <v>12296</v>
      </c>
      <c r="F215" s="30">
        <v>29929.75</v>
      </c>
      <c r="G215" s="30">
        <v>0</v>
      </c>
      <c r="H215" s="30">
        <v>70185.8</v>
      </c>
      <c r="I215" s="30">
        <v>1479</v>
      </c>
      <c r="J215" s="30">
        <v>0</v>
      </c>
      <c r="K215" s="30">
        <v>0</v>
      </c>
      <c r="L215" s="30">
        <v>0</v>
      </c>
      <c r="M215" s="30">
        <v>4179.4799999999996</v>
      </c>
      <c r="N215" s="30">
        <v>0</v>
      </c>
      <c r="O215" s="30">
        <v>0</v>
      </c>
      <c r="P215" s="30">
        <f t="shared" si="11"/>
        <v>127484.59</v>
      </c>
    </row>
    <row r="216" spans="1:17" outlineLevel="2">
      <c r="A216" t="s">
        <v>1019</v>
      </c>
      <c r="B216">
        <v>7</v>
      </c>
      <c r="C216" s="163" t="s">
        <v>1020</v>
      </c>
      <c r="D216" s="30">
        <v>5000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f t="shared" si="11"/>
        <v>5000</v>
      </c>
    </row>
    <row r="217" spans="1:17" outlineLevel="2">
      <c r="A217" t="s">
        <v>1021</v>
      </c>
      <c r="B217">
        <v>7</v>
      </c>
      <c r="C217" s="163" t="s">
        <v>1022</v>
      </c>
      <c r="D217" s="30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f t="shared" si="11"/>
        <v>0</v>
      </c>
    </row>
    <row r="218" spans="1:17" outlineLevel="2">
      <c r="A218" t="s">
        <v>1023</v>
      </c>
      <c r="B218">
        <v>7</v>
      </c>
      <c r="C218" s="163" t="s">
        <v>1024</v>
      </c>
      <c r="D218" s="30">
        <v>15863</v>
      </c>
      <c r="E218" s="30">
        <v>0</v>
      </c>
      <c r="F218" s="30">
        <v>0</v>
      </c>
      <c r="G218" s="30">
        <v>900</v>
      </c>
      <c r="H218" s="30">
        <v>49856</v>
      </c>
      <c r="I218" s="30">
        <v>21112</v>
      </c>
      <c r="J218" s="30">
        <v>2088</v>
      </c>
      <c r="K218" s="30">
        <v>45082.82</v>
      </c>
      <c r="L218" s="30">
        <v>34422</v>
      </c>
      <c r="M218" s="30">
        <v>44248.5</v>
      </c>
      <c r="N218" s="30">
        <v>5469.68</v>
      </c>
      <c r="O218" s="30">
        <v>237.8</v>
      </c>
      <c r="P218" s="30">
        <f t="shared" si="11"/>
        <v>219279.8</v>
      </c>
    </row>
    <row r="219" spans="1:17" outlineLevel="2">
      <c r="A219" t="s">
        <v>1025</v>
      </c>
      <c r="B219">
        <v>7</v>
      </c>
      <c r="C219" s="163" t="s">
        <v>1026</v>
      </c>
      <c r="D219" s="30">
        <v>1698.94</v>
      </c>
      <c r="E219" s="30">
        <v>0</v>
      </c>
      <c r="F219" s="30">
        <v>0</v>
      </c>
      <c r="G219" s="30">
        <v>1076.2</v>
      </c>
      <c r="H219" s="30">
        <v>9284.5300000000007</v>
      </c>
      <c r="I219" s="30">
        <v>0</v>
      </c>
      <c r="J219" s="30">
        <v>7888</v>
      </c>
      <c r="K219" s="30">
        <v>0</v>
      </c>
      <c r="L219" s="30">
        <v>2006.8</v>
      </c>
      <c r="M219" s="30">
        <v>0</v>
      </c>
      <c r="N219" s="30">
        <v>3276.63</v>
      </c>
      <c r="O219" s="30">
        <v>0</v>
      </c>
      <c r="P219" s="30">
        <f t="shared" si="11"/>
        <v>25231.100000000002</v>
      </c>
    </row>
    <row r="220" spans="1:17" outlineLevel="2">
      <c r="A220" t="s">
        <v>1027</v>
      </c>
      <c r="B220">
        <v>7</v>
      </c>
      <c r="C220" s="163" t="s">
        <v>1028</v>
      </c>
      <c r="D220" s="30">
        <v>17354.400000000001</v>
      </c>
      <c r="E220" s="30">
        <v>23483.63</v>
      </c>
      <c r="F220" s="30">
        <v>85573.759999999995</v>
      </c>
      <c r="G220" s="30">
        <v>3781.6</v>
      </c>
      <c r="H220" s="30">
        <v>179341.53</v>
      </c>
      <c r="I220" s="30">
        <v>39358.53</v>
      </c>
      <c r="J220" s="30">
        <v>57506.65</v>
      </c>
      <c r="K220" s="30">
        <v>53066.11</v>
      </c>
      <c r="L220" s="30">
        <v>22630.240000000002</v>
      </c>
      <c r="M220" s="30">
        <v>109783.69</v>
      </c>
      <c r="N220" s="30">
        <v>53021</v>
      </c>
      <c r="O220" s="30">
        <v>32105.4</v>
      </c>
      <c r="P220" s="30">
        <f t="shared" si="11"/>
        <v>677006.53999999992</v>
      </c>
    </row>
    <row r="221" spans="1:17" s="233" customFormat="1" ht="15" outlineLevel="1">
      <c r="B221" s="233" t="s">
        <v>1029</v>
      </c>
      <c r="C221" s="235" t="s">
        <v>429</v>
      </c>
      <c r="D221" s="236">
        <f t="shared" ref="D221:P221" si="12">SUBTOTAL(9,D175:D220)</f>
        <v>1023891.6100000002</v>
      </c>
      <c r="E221" s="236">
        <f t="shared" si="12"/>
        <v>1384606.06</v>
      </c>
      <c r="F221" s="236">
        <f t="shared" si="12"/>
        <v>2916929.3</v>
      </c>
      <c r="G221" s="236">
        <f t="shared" si="12"/>
        <v>1174353.23</v>
      </c>
      <c r="H221" s="236">
        <f t="shared" si="12"/>
        <v>5094482.62</v>
      </c>
      <c r="I221" s="236">
        <f t="shared" si="12"/>
        <v>1620264.71</v>
      </c>
      <c r="J221" s="236">
        <f t="shared" si="12"/>
        <v>1340625.9999999998</v>
      </c>
      <c r="K221" s="236">
        <f t="shared" si="12"/>
        <v>1555647.9600000002</v>
      </c>
      <c r="L221" s="236">
        <f t="shared" si="12"/>
        <v>3209751.7099999995</v>
      </c>
      <c r="M221" s="236">
        <f t="shared" si="12"/>
        <v>2042776.1600000001</v>
      </c>
      <c r="N221" s="236">
        <f t="shared" si="12"/>
        <v>3140627.7899999996</v>
      </c>
      <c r="O221" s="236">
        <f t="shared" si="12"/>
        <v>3464405.3699999996</v>
      </c>
      <c r="P221" s="236">
        <f t="shared" si="12"/>
        <v>27968362.519999992</v>
      </c>
      <c r="Q221" s="237"/>
    </row>
    <row r="222" spans="1:17" outlineLevel="2">
      <c r="A222" t="s">
        <v>1030</v>
      </c>
      <c r="B222">
        <v>8</v>
      </c>
      <c r="C222" s="163" t="s">
        <v>113</v>
      </c>
      <c r="D222" s="30">
        <v>210000</v>
      </c>
      <c r="E222" s="30">
        <v>677600</v>
      </c>
      <c r="F222" s="30">
        <v>325000</v>
      </c>
      <c r="G222" s="30">
        <v>0</v>
      </c>
      <c r="H222" s="30">
        <v>2.3199999999999998</v>
      </c>
      <c r="I222" s="30">
        <v>169400</v>
      </c>
      <c r="J222" s="30">
        <v>87542</v>
      </c>
      <c r="K222" s="30">
        <v>0</v>
      </c>
      <c r="L222" s="30">
        <v>421399.99</v>
      </c>
      <c r="M222" s="30">
        <v>114700</v>
      </c>
      <c r="N222" s="30">
        <v>0</v>
      </c>
      <c r="O222" s="30">
        <v>250000</v>
      </c>
      <c r="P222" s="30">
        <f t="shared" si="11"/>
        <v>2255644.31</v>
      </c>
    </row>
    <row r="223" spans="1:17" outlineLevel="2">
      <c r="A223" t="s">
        <v>1031</v>
      </c>
      <c r="B223">
        <v>8</v>
      </c>
      <c r="C223" s="163" t="s">
        <v>1032</v>
      </c>
      <c r="D223" s="30">
        <v>7235.04</v>
      </c>
      <c r="E223" s="30">
        <v>8278.31</v>
      </c>
      <c r="F223" s="30">
        <v>19617.689999999999</v>
      </c>
      <c r="G223" s="30">
        <v>0</v>
      </c>
      <c r="H223" s="30">
        <v>44114.8</v>
      </c>
      <c r="I223" s="30">
        <v>7727</v>
      </c>
      <c r="J223" s="30">
        <v>66784.800000000003</v>
      </c>
      <c r="K223" s="30">
        <v>3410.4</v>
      </c>
      <c r="L223" s="30">
        <v>123575</v>
      </c>
      <c r="M223" s="30">
        <v>96460.05</v>
      </c>
      <c r="N223" s="30">
        <v>1972</v>
      </c>
      <c r="O223" s="30">
        <v>14256.4</v>
      </c>
      <c r="P223" s="30">
        <f t="shared" si="11"/>
        <v>393431.49000000005</v>
      </c>
    </row>
    <row r="224" spans="1:17" outlineLevel="2">
      <c r="A224" t="s">
        <v>1033</v>
      </c>
      <c r="B224">
        <v>8</v>
      </c>
      <c r="C224" s="163" t="s">
        <v>1034</v>
      </c>
      <c r="D224" s="30">
        <v>296237.39</v>
      </c>
      <c r="E224" s="30">
        <v>438332.75</v>
      </c>
      <c r="F224" s="30">
        <v>442689.72</v>
      </c>
      <c r="G224" s="30">
        <v>277943.96999999997</v>
      </c>
      <c r="H224" s="30">
        <v>176307.99</v>
      </c>
      <c r="I224" s="30">
        <v>273301.03000000003</v>
      </c>
      <c r="J224" s="30">
        <v>293824.71000000002</v>
      </c>
      <c r="K224" s="30">
        <v>216364.19</v>
      </c>
      <c r="L224" s="30">
        <v>232264.41</v>
      </c>
      <c r="M224" s="30">
        <v>89471.49</v>
      </c>
      <c r="N224" s="30">
        <v>61752.039999999994</v>
      </c>
      <c r="O224" s="30">
        <v>92033.45</v>
      </c>
      <c r="P224" s="30">
        <f t="shared" si="11"/>
        <v>2890523.1400000006</v>
      </c>
    </row>
    <row r="225" spans="1:17" outlineLevel="2">
      <c r="A225" t="s">
        <v>1035</v>
      </c>
      <c r="B225">
        <v>8</v>
      </c>
      <c r="C225" s="163" t="s">
        <v>114</v>
      </c>
      <c r="D225" s="30">
        <v>411889.16</v>
      </c>
      <c r="E225" s="30">
        <v>119078.39</v>
      </c>
      <c r="F225" s="30">
        <v>130957.04</v>
      </c>
      <c r="G225" s="30">
        <v>10184.799999999999</v>
      </c>
      <c r="H225" s="30">
        <v>90769.04</v>
      </c>
      <c r="I225" s="30">
        <v>241056</v>
      </c>
      <c r="J225" s="30">
        <v>40982.800000000003</v>
      </c>
      <c r="K225" s="30">
        <v>60539.88</v>
      </c>
      <c r="L225" s="30">
        <v>20907.2</v>
      </c>
      <c r="M225" s="30">
        <v>138460.81</v>
      </c>
      <c r="N225" s="30">
        <v>1676</v>
      </c>
      <c r="O225" s="30">
        <v>141288.08000000002</v>
      </c>
      <c r="P225" s="30">
        <f t="shared" si="11"/>
        <v>1407789.2000000002</v>
      </c>
    </row>
    <row r="226" spans="1:17" outlineLevel="2">
      <c r="A226" t="s">
        <v>1036</v>
      </c>
      <c r="B226">
        <v>8</v>
      </c>
      <c r="C226" s="163" t="s">
        <v>1037</v>
      </c>
      <c r="D226" s="30">
        <v>8245</v>
      </c>
      <c r="E226" s="30">
        <v>0</v>
      </c>
      <c r="F226" s="30">
        <v>8500</v>
      </c>
      <c r="G226" s="30">
        <v>0</v>
      </c>
      <c r="H226" s="30">
        <v>0</v>
      </c>
      <c r="I226" s="30">
        <v>0</v>
      </c>
      <c r="J226" s="30">
        <v>1859.29</v>
      </c>
      <c r="K226" s="30">
        <v>32254.9</v>
      </c>
      <c r="L226" s="30">
        <v>464</v>
      </c>
      <c r="M226" s="30">
        <v>46887.199999999997</v>
      </c>
      <c r="N226" s="30">
        <v>0</v>
      </c>
      <c r="O226" s="30">
        <v>16854.8</v>
      </c>
      <c r="P226" s="30">
        <f t="shared" si="11"/>
        <v>115065.19</v>
      </c>
    </row>
    <row r="227" spans="1:17" outlineLevel="2">
      <c r="A227" t="s">
        <v>1038</v>
      </c>
      <c r="B227">
        <v>8</v>
      </c>
      <c r="C227" s="163" t="s">
        <v>1039</v>
      </c>
      <c r="D227" s="30">
        <v>33034.559999999998</v>
      </c>
      <c r="E227" s="30">
        <v>0</v>
      </c>
      <c r="F227" s="30">
        <v>0</v>
      </c>
      <c r="G227" s="30">
        <v>1352400</v>
      </c>
      <c r="H227" s="30">
        <v>0</v>
      </c>
      <c r="I227" s="30">
        <v>0</v>
      </c>
      <c r="J227" s="30">
        <v>1365922.04</v>
      </c>
      <c r="K227" s="30">
        <v>187751.8</v>
      </c>
      <c r="L227" s="30">
        <v>0</v>
      </c>
      <c r="M227" s="30">
        <v>0</v>
      </c>
      <c r="N227" s="30">
        <v>0</v>
      </c>
      <c r="O227" s="30">
        <v>0</v>
      </c>
      <c r="P227" s="30">
        <f t="shared" si="11"/>
        <v>2939108.4</v>
      </c>
    </row>
    <row r="228" spans="1:17" outlineLevel="2">
      <c r="A228" t="s">
        <v>1040</v>
      </c>
      <c r="B228">
        <v>8</v>
      </c>
      <c r="C228" s="163" t="s">
        <v>1041</v>
      </c>
      <c r="D228" s="30">
        <v>623500</v>
      </c>
      <c r="E228" s="30">
        <v>338100</v>
      </c>
      <c r="F228" s="30">
        <v>0</v>
      </c>
      <c r="G228" s="30">
        <v>0</v>
      </c>
      <c r="H228" s="30">
        <v>1622084.77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1145999.8400000001</v>
      </c>
      <c r="O228" s="30">
        <v>0</v>
      </c>
      <c r="P228" s="30">
        <f t="shared" si="11"/>
        <v>3729684.6100000003</v>
      </c>
    </row>
    <row r="229" spans="1:17" outlineLevel="2">
      <c r="A229" t="s">
        <v>1042</v>
      </c>
      <c r="B229">
        <v>8</v>
      </c>
      <c r="C229" s="163" t="s">
        <v>1043</v>
      </c>
      <c r="D229" s="30">
        <v>0</v>
      </c>
      <c r="E229" s="30">
        <v>0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f t="shared" si="11"/>
        <v>0</v>
      </c>
    </row>
    <row r="230" spans="1:17" outlineLevel="2">
      <c r="A230" t="s">
        <v>1044</v>
      </c>
      <c r="B230">
        <v>8</v>
      </c>
      <c r="C230" s="163" t="s">
        <v>1045</v>
      </c>
      <c r="D230" s="30">
        <v>0</v>
      </c>
      <c r="E230" s="30">
        <v>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f t="shared" si="11"/>
        <v>0</v>
      </c>
    </row>
    <row r="231" spans="1:17" outlineLevel="2">
      <c r="A231" t="s">
        <v>1046</v>
      </c>
      <c r="B231">
        <v>8</v>
      </c>
      <c r="C231" s="163" t="s">
        <v>1047</v>
      </c>
      <c r="D231" s="30">
        <v>0</v>
      </c>
      <c r="E231" s="30">
        <v>0</v>
      </c>
      <c r="F231" s="30">
        <v>0</v>
      </c>
      <c r="G231" s="30">
        <v>0</v>
      </c>
      <c r="H231" s="30">
        <v>2013820.78</v>
      </c>
      <c r="I231" s="30">
        <v>0</v>
      </c>
      <c r="J231" s="30">
        <v>0</v>
      </c>
      <c r="K231" s="30">
        <v>0</v>
      </c>
      <c r="L231" s="30">
        <v>1798000</v>
      </c>
      <c r="M231" s="30">
        <v>347965.2</v>
      </c>
      <c r="N231" s="30">
        <v>1665855.57</v>
      </c>
      <c r="O231" s="30">
        <v>0</v>
      </c>
      <c r="P231" s="30">
        <f t="shared" si="11"/>
        <v>5825641.5500000007</v>
      </c>
    </row>
    <row r="232" spans="1:17" s="233" customFormat="1" ht="15" outlineLevel="1">
      <c r="B232" s="233" t="s">
        <v>1048</v>
      </c>
      <c r="C232" s="235" t="s">
        <v>119</v>
      </c>
      <c r="D232" s="236">
        <f t="shared" ref="D232:P232" si="13">SUBTOTAL(9,D222:D231)</f>
        <v>1590141.1500000001</v>
      </c>
      <c r="E232" s="236">
        <f t="shared" si="13"/>
        <v>1581389.45</v>
      </c>
      <c r="F232" s="236">
        <f t="shared" si="13"/>
        <v>926764.45</v>
      </c>
      <c r="G232" s="236">
        <f t="shared" si="13"/>
        <v>1640528.77</v>
      </c>
      <c r="H232" s="236">
        <f t="shared" si="13"/>
        <v>3947099.7</v>
      </c>
      <c r="I232" s="236">
        <f t="shared" si="13"/>
        <v>691484.03</v>
      </c>
      <c r="J232" s="236">
        <f t="shared" si="13"/>
        <v>1856915.6400000001</v>
      </c>
      <c r="K232" s="236">
        <f t="shared" si="13"/>
        <v>500321.17</v>
      </c>
      <c r="L232" s="236">
        <f t="shared" si="13"/>
        <v>2596610.6</v>
      </c>
      <c r="M232" s="236">
        <f t="shared" si="13"/>
        <v>833944.75</v>
      </c>
      <c r="N232" s="236">
        <f t="shared" si="13"/>
        <v>2877255.45</v>
      </c>
      <c r="O232" s="236">
        <f t="shared" si="13"/>
        <v>514432.73000000004</v>
      </c>
      <c r="P232" s="236">
        <f t="shared" si="13"/>
        <v>19556887.890000004</v>
      </c>
      <c r="Q232" s="237"/>
    </row>
    <row r="233" spans="1:17" outlineLevel="2">
      <c r="A233" t="s">
        <v>1049</v>
      </c>
      <c r="B233">
        <v>9</v>
      </c>
      <c r="C233" s="163" t="s">
        <v>1050</v>
      </c>
      <c r="D233" s="30">
        <v>0</v>
      </c>
      <c r="E233" s="30">
        <v>0</v>
      </c>
      <c r="F233" s="30">
        <v>0</v>
      </c>
      <c r="G233" s="30">
        <v>550000</v>
      </c>
      <c r="H233" s="30">
        <v>0</v>
      </c>
      <c r="I233" s="30">
        <v>600000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f t="shared" si="11"/>
        <v>1150000</v>
      </c>
    </row>
    <row r="234" spans="1:17" s="233" customFormat="1" ht="15" outlineLevel="1">
      <c r="B234" s="233" t="s">
        <v>1051</v>
      </c>
      <c r="C234" s="235" t="s">
        <v>120</v>
      </c>
      <c r="D234" s="236">
        <f t="shared" ref="D234:P234" si="14">SUBTOTAL(9,D233:D233)</f>
        <v>0</v>
      </c>
      <c r="E234" s="236">
        <f t="shared" si="14"/>
        <v>0</v>
      </c>
      <c r="F234" s="236">
        <f t="shared" si="14"/>
        <v>0</v>
      </c>
      <c r="G234" s="236">
        <f t="shared" si="14"/>
        <v>550000</v>
      </c>
      <c r="H234" s="236">
        <f t="shared" si="14"/>
        <v>0</v>
      </c>
      <c r="I234" s="236">
        <f t="shared" si="14"/>
        <v>600000</v>
      </c>
      <c r="J234" s="236">
        <f t="shared" si="14"/>
        <v>0</v>
      </c>
      <c r="K234" s="236">
        <f t="shared" si="14"/>
        <v>0</v>
      </c>
      <c r="L234" s="236">
        <f t="shared" si="14"/>
        <v>0</v>
      </c>
      <c r="M234" s="236">
        <f t="shared" si="14"/>
        <v>0</v>
      </c>
      <c r="N234" s="236">
        <f t="shared" si="14"/>
        <v>0</v>
      </c>
      <c r="O234" s="236">
        <f t="shared" si="14"/>
        <v>0</v>
      </c>
      <c r="P234" s="236">
        <f t="shared" si="14"/>
        <v>1150000</v>
      </c>
      <c r="Q234" s="237"/>
    </row>
    <row r="235" spans="1:17" outlineLevel="2">
      <c r="A235" t="s">
        <v>1052</v>
      </c>
      <c r="B235">
        <v>10</v>
      </c>
      <c r="C235" s="163" t="s">
        <v>1053</v>
      </c>
      <c r="D235" s="30">
        <v>566806.85</v>
      </c>
      <c r="E235" s="30">
        <v>526669.34</v>
      </c>
      <c r="F235" s="30">
        <v>1416207.93</v>
      </c>
      <c r="G235" s="30">
        <v>436258.37</v>
      </c>
      <c r="H235" s="30">
        <v>1590770.98</v>
      </c>
      <c r="I235" s="30">
        <v>1065579.26</v>
      </c>
      <c r="J235" s="30">
        <v>1133059.5900000001</v>
      </c>
      <c r="K235" s="30">
        <v>898591.47</v>
      </c>
      <c r="L235" s="30">
        <v>478002.46</v>
      </c>
      <c r="M235" s="30">
        <v>486777.74</v>
      </c>
      <c r="N235" s="30">
        <v>1105012.3799999999</v>
      </c>
      <c r="O235" s="30">
        <v>2283687.1</v>
      </c>
      <c r="P235" s="30">
        <f t="shared" si="11"/>
        <v>11987423.470000001</v>
      </c>
    </row>
    <row r="236" spans="1:17" outlineLevel="2">
      <c r="A236" t="s">
        <v>1054</v>
      </c>
      <c r="B236">
        <v>10</v>
      </c>
      <c r="C236" s="163" t="s">
        <v>1055</v>
      </c>
      <c r="D236" s="30">
        <v>2790007.64</v>
      </c>
      <c r="E236" s="30">
        <v>2365468.29</v>
      </c>
      <c r="F236" s="30">
        <v>2470996.56</v>
      </c>
      <c r="G236" s="30">
        <v>2405486.46</v>
      </c>
      <c r="H236" s="30">
        <v>3554836.74</v>
      </c>
      <c r="I236" s="30">
        <v>3956344.63</v>
      </c>
      <c r="J236" s="30">
        <v>3763595.8400000003</v>
      </c>
      <c r="K236" s="30">
        <v>3307934.62</v>
      </c>
      <c r="L236" s="30">
        <v>3726294.25</v>
      </c>
      <c r="M236" s="30">
        <v>3459490.21</v>
      </c>
      <c r="N236" s="30">
        <v>2996170.22</v>
      </c>
      <c r="O236" s="30">
        <v>3519053.83</v>
      </c>
      <c r="P236" s="30">
        <f t="shared" si="11"/>
        <v>38315679.289999999</v>
      </c>
    </row>
    <row r="237" spans="1:17" outlineLevel="2">
      <c r="A237" t="s">
        <v>1056</v>
      </c>
      <c r="B237">
        <v>10</v>
      </c>
      <c r="C237" s="163" t="s">
        <v>1057</v>
      </c>
      <c r="D237" s="30">
        <v>301881.90999999997</v>
      </c>
      <c r="E237" s="30">
        <v>688180.59</v>
      </c>
      <c r="F237" s="30">
        <v>929533.81</v>
      </c>
      <c r="G237" s="30">
        <v>780083.89</v>
      </c>
      <c r="H237" s="30">
        <v>1245885.3999999999</v>
      </c>
      <c r="I237" s="30">
        <v>1418316.74</v>
      </c>
      <c r="J237" s="30">
        <v>615058.87</v>
      </c>
      <c r="K237" s="30">
        <v>338544.8</v>
      </c>
      <c r="L237" s="30">
        <v>696764.32</v>
      </c>
      <c r="M237" s="30">
        <v>472840.46</v>
      </c>
      <c r="N237" s="30">
        <v>462560.39999999997</v>
      </c>
      <c r="O237" s="30">
        <v>358378.46</v>
      </c>
      <c r="P237" s="30">
        <f t="shared" si="11"/>
        <v>8308029.6500000004</v>
      </c>
    </row>
    <row r="238" spans="1:17" outlineLevel="2">
      <c r="A238" t="s">
        <v>1058</v>
      </c>
      <c r="B238">
        <v>10</v>
      </c>
      <c r="C238" s="163" t="s">
        <v>1059</v>
      </c>
      <c r="D238" s="30">
        <v>0</v>
      </c>
      <c r="E238" s="30">
        <v>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f t="shared" si="11"/>
        <v>0</v>
      </c>
    </row>
    <row r="239" spans="1:17" outlineLevel="2">
      <c r="A239" t="s">
        <v>1060</v>
      </c>
      <c r="B239">
        <v>10</v>
      </c>
      <c r="C239" s="163" t="s">
        <v>1061</v>
      </c>
      <c r="D239" s="30">
        <v>0</v>
      </c>
      <c r="E239" s="30">
        <v>0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233721.23</v>
      </c>
      <c r="M239" s="30">
        <v>0</v>
      </c>
      <c r="N239" s="30">
        <v>0</v>
      </c>
      <c r="O239" s="30">
        <v>0</v>
      </c>
      <c r="P239" s="30">
        <f t="shared" ref="P239:P267" si="15">SUM(D239:O239)</f>
        <v>233721.23</v>
      </c>
    </row>
    <row r="240" spans="1:17" outlineLevel="2">
      <c r="A240" t="s">
        <v>1062</v>
      </c>
      <c r="B240">
        <v>10</v>
      </c>
      <c r="C240" s="163" t="s">
        <v>115</v>
      </c>
      <c r="D240" s="30">
        <v>231650.9</v>
      </c>
      <c r="E240" s="30">
        <v>43092.360000000015</v>
      </c>
      <c r="F240" s="30">
        <v>28228.6</v>
      </c>
      <c r="G240" s="30">
        <v>0</v>
      </c>
      <c r="H240" s="30">
        <v>384554.18</v>
      </c>
      <c r="I240" s="30">
        <v>-98695.76</v>
      </c>
      <c r="J240" s="30">
        <v>286298.2</v>
      </c>
      <c r="K240" s="30">
        <v>118377.42</v>
      </c>
      <c r="L240" s="30">
        <v>279021.15000000002</v>
      </c>
      <c r="M240" s="30">
        <v>58385.8</v>
      </c>
      <c r="N240" s="30">
        <v>868421.66</v>
      </c>
      <c r="O240" s="30">
        <v>115213.4</v>
      </c>
      <c r="P240" s="30">
        <f t="shared" si="15"/>
        <v>2314547.91</v>
      </c>
    </row>
    <row r="241" spans="1:16" outlineLevel="2">
      <c r="A241" t="s">
        <v>1063</v>
      </c>
      <c r="B241">
        <v>10</v>
      </c>
      <c r="C241" s="163" t="s">
        <v>1064</v>
      </c>
      <c r="D241" s="30">
        <v>448563.74</v>
      </c>
      <c r="E241" s="30">
        <v>190958.26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26680</v>
      </c>
      <c r="L241" s="30">
        <v>0</v>
      </c>
      <c r="M241" s="30">
        <v>0</v>
      </c>
      <c r="N241" s="30">
        <v>0</v>
      </c>
      <c r="O241" s="30">
        <v>98600</v>
      </c>
      <c r="P241" s="30">
        <f t="shared" si="15"/>
        <v>764802</v>
      </c>
    </row>
    <row r="242" spans="1:16" outlineLevel="2">
      <c r="A242" t="s">
        <v>1065</v>
      </c>
      <c r="B242">
        <v>10</v>
      </c>
      <c r="C242" s="163" t="s">
        <v>891</v>
      </c>
      <c r="D242" s="30">
        <v>0</v>
      </c>
      <c r="E242" s="30">
        <v>0</v>
      </c>
      <c r="F242" s="30">
        <v>0</v>
      </c>
      <c r="G242" s="30">
        <v>0</v>
      </c>
      <c r="H242" s="30">
        <v>0</v>
      </c>
      <c r="I242" s="30">
        <v>154689.78</v>
      </c>
      <c r="J242" s="30">
        <v>35983.199999999997</v>
      </c>
      <c r="K242" s="30">
        <v>166684.18</v>
      </c>
      <c r="L242" s="30">
        <v>0</v>
      </c>
      <c r="M242" s="30">
        <v>100000</v>
      </c>
      <c r="N242" s="30">
        <v>0</v>
      </c>
      <c r="O242" s="30">
        <v>100000</v>
      </c>
      <c r="P242" s="30">
        <f t="shared" si="15"/>
        <v>557357.15999999992</v>
      </c>
    </row>
    <row r="243" spans="1:16" outlineLevel="2">
      <c r="A243" t="s">
        <v>1066</v>
      </c>
      <c r="B243">
        <v>10</v>
      </c>
      <c r="C243" s="163" t="s">
        <v>1067</v>
      </c>
      <c r="D243" s="30">
        <v>0</v>
      </c>
      <c r="E243" s="30">
        <v>0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296380</v>
      </c>
      <c r="P243" s="30">
        <f t="shared" si="15"/>
        <v>296380</v>
      </c>
    </row>
    <row r="244" spans="1:16" outlineLevel="2">
      <c r="A244" t="s">
        <v>1068</v>
      </c>
      <c r="B244">
        <v>10</v>
      </c>
      <c r="C244" s="163" t="s">
        <v>1069</v>
      </c>
      <c r="D244" s="30">
        <v>42300</v>
      </c>
      <c r="E244" s="30">
        <v>366321.62</v>
      </c>
      <c r="F244" s="30">
        <v>139432</v>
      </c>
      <c r="G244" s="30">
        <v>67976</v>
      </c>
      <c r="H244" s="30">
        <v>79546.759999999995</v>
      </c>
      <c r="I244" s="30">
        <v>91317.4</v>
      </c>
      <c r="J244" s="30">
        <v>426548.09</v>
      </c>
      <c r="K244" s="30">
        <v>110878.6</v>
      </c>
      <c r="L244" s="30">
        <v>52197.45</v>
      </c>
      <c r="M244" s="30">
        <v>129409.60000000001</v>
      </c>
      <c r="N244" s="30">
        <v>41470</v>
      </c>
      <c r="O244" s="30">
        <v>0</v>
      </c>
      <c r="P244" s="30">
        <f t="shared" si="15"/>
        <v>1547397.5200000003</v>
      </c>
    </row>
    <row r="245" spans="1:16" outlineLevel="2">
      <c r="A245" t="s">
        <v>1070</v>
      </c>
      <c r="B245">
        <v>10</v>
      </c>
      <c r="C245" s="163" t="s">
        <v>1071</v>
      </c>
      <c r="D245" s="30">
        <v>0</v>
      </c>
      <c r="E245" s="30">
        <v>0</v>
      </c>
      <c r="F245" s="30">
        <v>0</v>
      </c>
      <c r="G245" s="30">
        <v>6632666.9699999997</v>
      </c>
      <c r="H245" s="30">
        <v>16341935.6</v>
      </c>
      <c r="I245" s="30">
        <v>2568278.23</v>
      </c>
      <c r="J245" s="30">
        <v>18554435.84</v>
      </c>
      <c r="K245" s="30">
        <v>9382784.6199999992</v>
      </c>
      <c r="L245" s="30">
        <v>11148670.680000002</v>
      </c>
      <c r="M245" s="30">
        <v>11512176.73</v>
      </c>
      <c r="N245" s="30">
        <v>9481311.4399999995</v>
      </c>
      <c r="O245" s="30">
        <v>871128.42</v>
      </c>
      <c r="P245" s="30">
        <f t="shared" si="15"/>
        <v>86493388.530000001</v>
      </c>
    </row>
    <row r="246" spans="1:16" outlineLevel="2">
      <c r="A246" t="s">
        <v>1072</v>
      </c>
      <c r="B246">
        <v>10</v>
      </c>
      <c r="C246" s="163" t="s">
        <v>1073</v>
      </c>
      <c r="D246" s="30">
        <v>1706427.34</v>
      </c>
      <c r="E246" s="30">
        <v>1138120.0900000001</v>
      </c>
      <c r="F246" s="30">
        <v>14739450.58</v>
      </c>
      <c r="G246" s="30">
        <v>4652750.53</v>
      </c>
      <c r="H246" s="30">
        <v>5157670.8099999996</v>
      </c>
      <c r="I246" s="30">
        <v>1287584.92</v>
      </c>
      <c r="J246" s="30">
        <v>328508.59999999998</v>
      </c>
      <c r="K246" s="30">
        <v>616711.43999999994</v>
      </c>
      <c r="L246" s="30">
        <v>463336.38</v>
      </c>
      <c r="M246" s="30">
        <v>587674.31000000006</v>
      </c>
      <c r="N246" s="30">
        <v>1445056</v>
      </c>
      <c r="O246" s="30">
        <v>0</v>
      </c>
      <c r="P246" s="30">
        <f t="shared" si="15"/>
        <v>32123291.000000004</v>
      </c>
    </row>
    <row r="247" spans="1:16" outlineLevel="2">
      <c r="A247" t="s">
        <v>1074</v>
      </c>
      <c r="B247">
        <v>10</v>
      </c>
      <c r="C247" s="163" t="s">
        <v>1057</v>
      </c>
      <c r="D247" s="30">
        <v>11406976</v>
      </c>
      <c r="E247" s="30">
        <v>11406976</v>
      </c>
      <c r="F247" s="30">
        <v>15060976</v>
      </c>
      <c r="G247" s="30">
        <v>597602.4</v>
      </c>
      <c r="H247" s="30">
        <v>0</v>
      </c>
      <c r="I247" s="30">
        <v>2284770.9500000002</v>
      </c>
      <c r="J247" s="30">
        <v>0</v>
      </c>
      <c r="K247" s="30">
        <v>0</v>
      </c>
      <c r="L247" s="30">
        <v>1395495.92</v>
      </c>
      <c r="M247" s="30">
        <v>1637631.29</v>
      </c>
      <c r="N247" s="30">
        <v>3758570.99</v>
      </c>
      <c r="O247" s="30">
        <v>0</v>
      </c>
      <c r="P247" s="30">
        <f t="shared" si="15"/>
        <v>47548999.550000004</v>
      </c>
    </row>
    <row r="248" spans="1:16" outlineLevel="2">
      <c r="A248" t="s">
        <v>1075</v>
      </c>
      <c r="B248">
        <v>10</v>
      </c>
      <c r="C248" s="163" t="s">
        <v>1059</v>
      </c>
      <c r="D248" s="30">
        <v>0</v>
      </c>
      <c r="E248" s="30">
        <v>0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f t="shared" si="15"/>
        <v>0</v>
      </c>
    </row>
    <row r="249" spans="1:16" outlineLevel="2">
      <c r="A249" t="s">
        <v>1076</v>
      </c>
      <c r="B249">
        <v>10</v>
      </c>
      <c r="C249" s="163" t="s">
        <v>1077</v>
      </c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381552.79</v>
      </c>
      <c r="N249" s="30">
        <v>0</v>
      </c>
      <c r="O249" s="30">
        <v>0</v>
      </c>
      <c r="P249" s="30">
        <f t="shared" si="15"/>
        <v>381552.79</v>
      </c>
    </row>
    <row r="250" spans="1:16" outlineLevel="2">
      <c r="A250" t="s">
        <v>1078</v>
      </c>
      <c r="B250">
        <v>10</v>
      </c>
      <c r="C250" s="163" t="s">
        <v>1079</v>
      </c>
      <c r="D250" s="30">
        <v>0</v>
      </c>
      <c r="E250" s="30">
        <v>0</v>
      </c>
      <c r="F250" s="30">
        <v>0</v>
      </c>
      <c r="G250" s="30">
        <v>0</v>
      </c>
      <c r="H250" s="30">
        <v>0</v>
      </c>
      <c r="I250" s="30">
        <v>885057.5</v>
      </c>
      <c r="J250" s="30">
        <v>845711.95</v>
      </c>
      <c r="K250" s="30">
        <v>0</v>
      </c>
      <c r="L250" s="30">
        <v>0</v>
      </c>
      <c r="M250" s="30">
        <v>2235031.67</v>
      </c>
      <c r="N250" s="30">
        <v>156378.88</v>
      </c>
      <c r="O250" s="30">
        <v>0</v>
      </c>
      <c r="P250" s="30">
        <f t="shared" si="15"/>
        <v>4122180</v>
      </c>
    </row>
    <row r="251" spans="1:16" outlineLevel="2">
      <c r="A251" t="s">
        <v>1080</v>
      </c>
      <c r="B251">
        <v>10</v>
      </c>
      <c r="C251" s="163" t="s">
        <v>875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f t="shared" si="15"/>
        <v>0</v>
      </c>
    </row>
    <row r="252" spans="1:16" outlineLevel="2">
      <c r="A252" t="s">
        <v>1081</v>
      </c>
      <c r="B252">
        <v>10</v>
      </c>
      <c r="C252" s="163" t="s">
        <v>115</v>
      </c>
      <c r="D252" s="30">
        <v>0</v>
      </c>
      <c r="E252" s="30">
        <v>0</v>
      </c>
      <c r="F252" s="30">
        <v>0</v>
      </c>
      <c r="G252" s="30">
        <v>0</v>
      </c>
      <c r="H252" s="30">
        <v>0</v>
      </c>
      <c r="I252" s="30">
        <v>1116063.96</v>
      </c>
      <c r="J252" s="30">
        <v>146249.41</v>
      </c>
      <c r="K252" s="30">
        <v>0</v>
      </c>
      <c r="L252" s="30">
        <v>425754.77</v>
      </c>
      <c r="M252" s="30">
        <v>642840.29</v>
      </c>
      <c r="N252" s="30">
        <v>923603.32</v>
      </c>
      <c r="O252" s="30">
        <v>0</v>
      </c>
      <c r="P252" s="30">
        <f t="shared" si="15"/>
        <v>3254511.7499999995</v>
      </c>
    </row>
    <row r="253" spans="1:16" outlineLevel="2">
      <c r="A253" t="s">
        <v>1082</v>
      </c>
      <c r="B253">
        <v>10</v>
      </c>
      <c r="C253" s="163" t="s">
        <v>1083</v>
      </c>
      <c r="D253" s="30">
        <v>0</v>
      </c>
      <c r="E253" s="30">
        <v>0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f t="shared" si="15"/>
        <v>0</v>
      </c>
    </row>
    <row r="254" spans="1:16" outlineLevel="2">
      <c r="A254" t="s">
        <v>1084</v>
      </c>
      <c r="B254">
        <v>10</v>
      </c>
      <c r="C254" s="163" t="s">
        <v>1085</v>
      </c>
      <c r="D254" s="30">
        <v>0</v>
      </c>
      <c r="E254" s="30">
        <v>0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f t="shared" si="15"/>
        <v>0</v>
      </c>
    </row>
    <row r="255" spans="1:16" outlineLevel="2">
      <c r="A255" t="s">
        <v>1086</v>
      </c>
      <c r="B255">
        <v>10</v>
      </c>
      <c r="C255" s="163" t="s">
        <v>1087</v>
      </c>
      <c r="D255" s="30">
        <v>0</v>
      </c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f t="shared" si="15"/>
        <v>0</v>
      </c>
    </row>
    <row r="256" spans="1:16" outlineLevel="2">
      <c r="A256" t="s">
        <v>1088</v>
      </c>
      <c r="B256">
        <v>10</v>
      </c>
      <c r="C256" s="163" t="s">
        <v>1089</v>
      </c>
      <c r="D256" s="30">
        <v>0</v>
      </c>
      <c r="E256" s="30">
        <v>0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f t="shared" si="15"/>
        <v>0</v>
      </c>
    </row>
    <row r="257" spans="1:17" outlineLevel="2">
      <c r="A257" t="s">
        <v>1090</v>
      </c>
      <c r="B257">
        <v>10</v>
      </c>
      <c r="C257" s="163" t="s">
        <v>1091</v>
      </c>
      <c r="D257" s="30">
        <v>0</v>
      </c>
      <c r="E257" s="30">
        <v>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f t="shared" si="15"/>
        <v>0</v>
      </c>
    </row>
    <row r="258" spans="1:17" outlineLevel="2">
      <c r="A258" t="s">
        <v>1092</v>
      </c>
      <c r="B258">
        <v>10</v>
      </c>
      <c r="C258" s="163" t="s">
        <v>1093</v>
      </c>
      <c r="D258" s="30">
        <v>0</v>
      </c>
      <c r="E258" s="30">
        <v>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f t="shared" si="15"/>
        <v>0</v>
      </c>
    </row>
    <row r="259" spans="1:17" outlineLevel="2">
      <c r="A259" t="s">
        <v>1094</v>
      </c>
      <c r="B259">
        <v>10</v>
      </c>
      <c r="C259" s="163" t="s">
        <v>901</v>
      </c>
      <c r="D259" s="30">
        <v>0</v>
      </c>
      <c r="E259" s="30">
        <v>0</v>
      </c>
      <c r="F259" s="30">
        <v>4104000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f t="shared" si="15"/>
        <v>4104000</v>
      </c>
    </row>
    <row r="260" spans="1:17" outlineLevel="2">
      <c r="A260" t="s">
        <v>1095</v>
      </c>
      <c r="B260">
        <v>10</v>
      </c>
      <c r="C260" s="163" t="s">
        <v>1096</v>
      </c>
      <c r="D260" s="30">
        <v>0</v>
      </c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f t="shared" si="15"/>
        <v>0</v>
      </c>
    </row>
    <row r="261" spans="1:17" outlineLevel="2">
      <c r="A261" t="s">
        <v>1097</v>
      </c>
      <c r="B261">
        <v>10</v>
      </c>
      <c r="C261" s="163" t="s">
        <v>1098</v>
      </c>
      <c r="D261" s="30">
        <v>0</v>
      </c>
      <c r="E261" s="30">
        <v>0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f t="shared" si="15"/>
        <v>0</v>
      </c>
    </row>
    <row r="262" spans="1:17" outlineLevel="2">
      <c r="A262" t="s">
        <v>1099</v>
      </c>
      <c r="B262">
        <v>10</v>
      </c>
      <c r="C262" s="163" t="s">
        <v>1100</v>
      </c>
      <c r="D262" s="30">
        <v>0</v>
      </c>
      <c r="E262" s="30">
        <v>0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f t="shared" si="15"/>
        <v>0</v>
      </c>
    </row>
    <row r="263" spans="1:17" outlineLevel="2">
      <c r="A263" t="s">
        <v>1101</v>
      </c>
      <c r="B263">
        <v>10</v>
      </c>
      <c r="C263" s="163" t="s">
        <v>1102</v>
      </c>
      <c r="D263" s="30">
        <v>210730.29</v>
      </c>
      <c r="E263" s="30">
        <v>0</v>
      </c>
      <c r="F263" s="30">
        <v>455140.93</v>
      </c>
      <c r="G263" s="30">
        <v>0</v>
      </c>
      <c r="H263" s="30">
        <v>170880.42</v>
      </c>
      <c r="I263" s="30">
        <v>810357.48</v>
      </c>
      <c r="J263" s="30">
        <v>59280.69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f t="shared" si="15"/>
        <v>1706389.81</v>
      </c>
    </row>
    <row r="264" spans="1:17" outlineLevel="2">
      <c r="A264" t="s">
        <v>1103</v>
      </c>
      <c r="B264">
        <v>10</v>
      </c>
      <c r="C264" s="163" t="s">
        <v>1104</v>
      </c>
      <c r="D264" s="30">
        <v>361362.67</v>
      </c>
      <c r="E264" s="30">
        <v>0</v>
      </c>
      <c r="F264" s="30">
        <v>570051.04</v>
      </c>
      <c r="G264" s="30">
        <v>4537332.71</v>
      </c>
      <c r="H264" s="30">
        <v>2659617.87</v>
      </c>
      <c r="I264" s="30">
        <v>1059239.24</v>
      </c>
      <c r="J264" s="30">
        <v>78064.759999999995</v>
      </c>
      <c r="K264" s="30">
        <v>0</v>
      </c>
      <c r="L264" s="30">
        <v>268125.8</v>
      </c>
      <c r="M264" s="30">
        <v>1517831.76</v>
      </c>
      <c r="N264" s="30">
        <v>0</v>
      </c>
      <c r="O264" s="30">
        <v>1468923.98</v>
      </c>
      <c r="P264" s="30">
        <f t="shared" si="15"/>
        <v>12520549.83</v>
      </c>
    </row>
    <row r="265" spans="1:17" outlineLevel="2">
      <c r="A265" t="s">
        <v>1105</v>
      </c>
      <c r="B265">
        <v>10</v>
      </c>
      <c r="C265" s="163" t="s">
        <v>1106</v>
      </c>
      <c r="D265" s="30">
        <v>0</v>
      </c>
      <c r="E265" s="30">
        <v>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f t="shared" si="15"/>
        <v>0</v>
      </c>
    </row>
    <row r="266" spans="1:17" outlineLevel="2">
      <c r="A266" t="s">
        <v>1107</v>
      </c>
      <c r="B266">
        <v>10</v>
      </c>
      <c r="C266" s="163" t="s">
        <v>1108</v>
      </c>
      <c r="D266" s="30">
        <v>0</v>
      </c>
      <c r="E266" s="30">
        <v>0</v>
      </c>
      <c r="F266" s="30">
        <v>270520.12</v>
      </c>
      <c r="G266" s="30">
        <v>241125.09</v>
      </c>
      <c r="H266" s="30">
        <v>726723.69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f t="shared" si="15"/>
        <v>1238368.8999999999</v>
      </c>
    </row>
    <row r="267" spans="1:17" outlineLevel="2">
      <c r="A267" t="s">
        <v>1109</v>
      </c>
      <c r="B267">
        <v>10</v>
      </c>
      <c r="C267" s="163" t="s">
        <v>169</v>
      </c>
      <c r="D267" s="30">
        <v>12545806.699999999</v>
      </c>
      <c r="E267" s="30">
        <v>4436663.08</v>
      </c>
      <c r="F267" s="30">
        <v>11726156.050000001</v>
      </c>
      <c r="G267" s="30">
        <v>7778095.2399999993</v>
      </c>
      <c r="H267" s="30">
        <v>3708428.2100000004</v>
      </c>
      <c r="I267" s="30">
        <v>25483792.189999998</v>
      </c>
      <c r="J267" s="30">
        <v>6077760.1799999997</v>
      </c>
      <c r="K267" s="30">
        <v>29816821.300000001</v>
      </c>
      <c r="L267" s="30">
        <v>6908163.1600000001</v>
      </c>
      <c r="M267" s="30">
        <v>22801490.579999998</v>
      </c>
      <c r="N267" s="30">
        <v>27839331.649999999</v>
      </c>
      <c r="O267" s="30">
        <v>20044054.080000002</v>
      </c>
      <c r="P267" s="30">
        <f t="shared" si="15"/>
        <v>179166562.42000002</v>
      </c>
    </row>
    <row r="268" spans="1:17" s="233" customFormat="1" ht="15" outlineLevel="1">
      <c r="B268" s="233" t="s">
        <v>1110</v>
      </c>
      <c r="C268" s="235" t="s">
        <v>1111</v>
      </c>
      <c r="D268" s="236">
        <f t="shared" ref="D268:P268" si="16">SUBTOTAL(9,D235:D267)</f>
        <v>30612514.039999999</v>
      </c>
      <c r="E268" s="236">
        <f t="shared" si="16"/>
        <v>21162449.630000003</v>
      </c>
      <c r="F268" s="236">
        <f t="shared" si="16"/>
        <v>51910693.620000005</v>
      </c>
      <c r="G268" s="236">
        <f t="shared" si="16"/>
        <v>28129377.659999996</v>
      </c>
      <c r="H268" s="236">
        <f t="shared" si="16"/>
        <v>35620850.660000004</v>
      </c>
      <c r="I268" s="236">
        <f t="shared" si="16"/>
        <v>42082696.520000003</v>
      </c>
      <c r="J268" s="236">
        <f t="shared" si="16"/>
        <v>32350555.220000006</v>
      </c>
      <c r="K268" s="236">
        <f t="shared" si="16"/>
        <v>44784008.449999996</v>
      </c>
      <c r="L268" s="236">
        <f t="shared" si="16"/>
        <v>26075547.570000004</v>
      </c>
      <c r="M268" s="236">
        <f t="shared" si="16"/>
        <v>46023133.229999989</v>
      </c>
      <c r="N268" s="236">
        <f t="shared" si="16"/>
        <v>49077886.939999998</v>
      </c>
      <c r="O268" s="236">
        <f t="shared" si="16"/>
        <v>29155419.270000003</v>
      </c>
      <c r="P268" s="236">
        <f t="shared" si="16"/>
        <v>436985132.81000006</v>
      </c>
      <c r="Q268" s="237"/>
    </row>
    <row r="269" spans="1:17" outlineLevel="2">
      <c r="A269" t="s">
        <v>1112</v>
      </c>
      <c r="B269">
        <v>11</v>
      </c>
      <c r="C269" s="163" t="s">
        <v>1113</v>
      </c>
      <c r="D269" s="30">
        <v>0</v>
      </c>
      <c r="E269" s="30">
        <v>0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f t="shared" ref="P269:P278" si="17">SUM(D269:O269)</f>
        <v>0</v>
      </c>
    </row>
    <row r="270" spans="1:17" outlineLevel="2">
      <c r="A270" t="s">
        <v>1114</v>
      </c>
      <c r="B270">
        <v>11</v>
      </c>
      <c r="C270" s="163" t="s">
        <v>128</v>
      </c>
      <c r="D270" s="30">
        <v>0</v>
      </c>
      <c r="E270" s="30">
        <v>0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f t="shared" si="17"/>
        <v>0</v>
      </c>
    </row>
    <row r="271" spans="1:17" outlineLevel="2">
      <c r="A271" t="s">
        <v>1115</v>
      </c>
      <c r="B271">
        <v>11</v>
      </c>
      <c r="C271" s="163" t="s">
        <v>1116</v>
      </c>
      <c r="D271" s="30">
        <v>0</v>
      </c>
      <c r="E271" s="30">
        <v>0</v>
      </c>
      <c r="F271" s="30">
        <v>301.60000000000002</v>
      </c>
      <c r="G271" s="30">
        <v>1223.8</v>
      </c>
      <c r="H271" s="30">
        <v>319</v>
      </c>
      <c r="I271" s="30">
        <v>301.60000000000002</v>
      </c>
      <c r="J271" s="30">
        <v>1218</v>
      </c>
      <c r="K271" s="30">
        <v>-632.20000000000005</v>
      </c>
      <c r="L271" s="30">
        <v>0</v>
      </c>
      <c r="M271" s="30">
        <v>0</v>
      </c>
      <c r="N271" s="30">
        <v>0</v>
      </c>
      <c r="O271" s="30">
        <v>0</v>
      </c>
      <c r="P271" s="30">
        <f t="shared" si="17"/>
        <v>2731.8</v>
      </c>
    </row>
    <row r="272" spans="1:17" outlineLevel="2">
      <c r="A272" t="s">
        <v>1117</v>
      </c>
      <c r="B272">
        <v>11</v>
      </c>
      <c r="C272" s="163" t="s">
        <v>1118</v>
      </c>
      <c r="D272" s="30">
        <v>5.8</v>
      </c>
      <c r="E272" s="30">
        <v>10.32</v>
      </c>
      <c r="F272" s="30">
        <v>986</v>
      </c>
      <c r="G272" s="30">
        <v>0</v>
      </c>
      <c r="H272" s="30">
        <v>0</v>
      </c>
      <c r="I272" s="30">
        <v>5.8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f t="shared" si="17"/>
        <v>1007.92</v>
      </c>
    </row>
    <row r="273" spans="1:17" outlineLevel="2">
      <c r="A273" t="s">
        <v>1119</v>
      </c>
      <c r="B273">
        <v>11</v>
      </c>
      <c r="C273" s="163" t="s">
        <v>1113</v>
      </c>
      <c r="D273" s="30">
        <v>0</v>
      </c>
      <c r="E273" s="30">
        <v>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3195000</v>
      </c>
      <c r="M273" s="30">
        <v>5182000</v>
      </c>
      <c r="N273" s="30">
        <v>176000</v>
      </c>
      <c r="O273" s="30">
        <v>55197813</v>
      </c>
      <c r="P273" s="30">
        <f t="shared" si="17"/>
        <v>63750813</v>
      </c>
    </row>
    <row r="274" spans="1:17" outlineLevel="2">
      <c r="A274" t="s">
        <v>1120</v>
      </c>
      <c r="B274">
        <v>11</v>
      </c>
      <c r="C274" s="163" t="s">
        <v>128</v>
      </c>
      <c r="D274" s="30">
        <v>466967.62</v>
      </c>
      <c r="E274" s="30">
        <v>2110817.38</v>
      </c>
      <c r="F274" s="30">
        <v>955116.66</v>
      </c>
      <c r="G274" s="30">
        <v>1172120.51</v>
      </c>
      <c r="H274" s="30">
        <v>1153110.3299999998</v>
      </c>
      <c r="I274" s="30">
        <v>1326126.0900000001</v>
      </c>
      <c r="J274" s="30">
        <v>1462763.24</v>
      </c>
      <c r="K274" s="30">
        <v>1502209.71</v>
      </c>
      <c r="L274" s="30">
        <v>1591725.65</v>
      </c>
      <c r="M274" s="30">
        <v>1474627.9200000002</v>
      </c>
      <c r="N274" s="30">
        <v>1537650.8100000003</v>
      </c>
      <c r="O274" s="30">
        <v>1757844.1400000001</v>
      </c>
      <c r="P274" s="30">
        <f t="shared" si="17"/>
        <v>16511080.060000001</v>
      </c>
    </row>
    <row r="275" spans="1:17" outlineLevel="2">
      <c r="A275" t="s">
        <v>1121</v>
      </c>
      <c r="B275">
        <v>11</v>
      </c>
      <c r="C275" s="163" t="s">
        <v>1122</v>
      </c>
      <c r="D275" s="30">
        <v>0</v>
      </c>
      <c r="E275" s="30">
        <v>0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f t="shared" si="17"/>
        <v>0</v>
      </c>
    </row>
    <row r="276" spans="1:17" outlineLevel="2">
      <c r="A276" t="s">
        <v>1123</v>
      </c>
      <c r="B276">
        <v>11</v>
      </c>
      <c r="C276" s="163" t="s">
        <v>1124</v>
      </c>
      <c r="D276" s="30">
        <v>0</v>
      </c>
      <c r="E276" s="30">
        <v>0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f t="shared" si="17"/>
        <v>0</v>
      </c>
    </row>
    <row r="277" spans="1:17" outlineLevel="2">
      <c r="A277" t="s">
        <v>1125</v>
      </c>
      <c r="B277">
        <v>11</v>
      </c>
      <c r="C277" s="163" t="s">
        <v>1126</v>
      </c>
      <c r="D277" s="30">
        <v>2916666</v>
      </c>
      <c r="E277" s="30">
        <v>2916666</v>
      </c>
      <c r="F277" s="30">
        <v>2916666</v>
      </c>
      <c r="G277" s="30">
        <v>833333</v>
      </c>
      <c r="H277" s="30">
        <v>3833333</v>
      </c>
      <c r="I277" s="30">
        <v>10833333</v>
      </c>
      <c r="J277" s="30">
        <v>20833333</v>
      </c>
      <c r="K277" s="30">
        <v>833333</v>
      </c>
      <c r="L277" s="30">
        <v>24815333</v>
      </c>
      <c r="M277" s="30">
        <v>833333</v>
      </c>
      <c r="N277" s="30">
        <v>833333</v>
      </c>
      <c r="O277" s="30">
        <v>10000000</v>
      </c>
      <c r="P277" s="30">
        <f t="shared" si="17"/>
        <v>82398662</v>
      </c>
    </row>
    <row r="278" spans="1:17" outlineLevel="2">
      <c r="A278" t="s">
        <v>1127</v>
      </c>
      <c r="B278">
        <v>11</v>
      </c>
      <c r="C278" s="163" t="s">
        <v>128</v>
      </c>
      <c r="D278" s="30">
        <v>23.2</v>
      </c>
      <c r="E278" s="30">
        <v>0</v>
      </c>
      <c r="F278" s="30">
        <v>77.14</v>
      </c>
      <c r="G278" s="30">
        <v>208.8</v>
      </c>
      <c r="H278" s="30">
        <v>880.76</v>
      </c>
      <c r="I278" s="30">
        <v>23.2</v>
      </c>
      <c r="J278" s="30">
        <v>11.600000000000023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f t="shared" si="17"/>
        <v>1224.7000000000003</v>
      </c>
    </row>
    <row r="279" spans="1:17" s="233" customFormat="1" ht="15" outlineLevel="1">
      <c r="B279" s="233" t="s">
        <v>1128</v>
      </c>
      <c r="C279" s="235" t="s">
        <v>302</v>
      </c>
      <c r="D279" s="236">
        <f t="shared" ref="D279:P279" si="18">SUBTOTAL(9,D269:D278)</f>
        <v>3383662.62</v>
      </c>
      <c r="E279" s="236">
        <f t="shared" si="18"/>
        <v>5027493.6999999993</v>
      </c>
      <c r="F279" s="236">
        <f t="shared" si="18"/>
        <v>3873147.4</v>
      </c>
      <c r="G279" s="236">
        <f t="shared" si="18"/>
        <v>2006886.11</v>
      </c>
      <c r="H279" s="236">
        <f t="shared" si="18"/>
        <v>4987643.09</v>
      </c>
      <c r="I279" s="236">
        <f t="shared" si="18"/>
        <v>12159789.689999999</v>
      </c>
      <c r="J279" s="236">
        <f t="shared" si="18"/>
        <v>22297325.84</v>
      </c>
      <c r="K279" s="236">
        <f t="shared" si="18"/>
        <v>2334910.5099999998</v>
      </c>
      <c r="L279" s="236">
        <f t="shared" si="18"/>
        <v>29602058.649999999</v>
      </c>
      <c r="M279" s="236">
        <f t="shared" si="18"/>
        <v>7489960.9199999999</v>
      </c>
      <c r="N279" s="236">
        <f t="shared" si="18"/>
        <v>2546983.8100000005</v>
      </c>
      <c r="O279" s="236">
        <f t="shared" si="18"/>
        <v>66955657.140000001</v>
      </c>
      <c r="P279" s="236">
        <f t="shared" si="18"/>
        <v>162665519.47999999</v>
      </c>
      <c r="Q279" s="237"/>
    </row>
    <row r="280" spans="1:17" outlineLevel="1"/>
    <row r="281" spans="1:17" ht="15" outlineLevel="1">
      <c r="B281" s="238"/>
    </row>
    <row r="282" spans="1:17" s="233" customFormat="1" ht="15" outlineLevel="1">
      <c r="B282" s="233" t="s">
        <v>1129</v>
      </c>
      <c r="C282" s="235" t="s">
        <v>131</v>
      </c>
      <c r="D282" s="236">
        <f t="shared" ref="D282:P282" si="19">SUBTOTAL(9,D5:D281)</f>
        <v>88234507.190000042</v>
      </c>
      <c r="E282" s="236">
        <f t="shared" si="19"/>
        <v>82745322.060000017</v>
      </c>
      <c r="F282" s="236">
        <f t="shared" si="19"/>
        <v>118550501.67</v>
      </c>
      <c r="G282" s="236">
        <f t="shared" si="19"/>
        <v>84729851.75</v>
      </c>
      <c r="H282" s="236">
        <f t="shared" si="19"/>
        <v>108924329.88000001</v>
      </c>
      <c r="I282" s="236">
        <f t="shared" si="19"/>
        <v>115684320.19</v>
      </c>
      <c r="J282" s="236">
        <f t="shared" si="19"/>
        <v>114659737.88000001</v>
      </c>
      <c r="K282" s="236">
        <f t="shared" si="19"/>
        <v>104316717.49999997</v>
      </c>
      <c r="L282" s="236">
        <f t="shared" si="19"/>
        <v>113909671.41999999</v>
      </c>
      <c r="M282" s="236">
        <f t="shared" si="19"/>
        <v>111317669.81000005</v>
      </c>
      <c r="N282" s="236">
        <f t="shared" si="19"/>
        <v>109186614.47999999</v>
      </c>
      <c r="O282" s="236">
        <f t="shared" si="19"/>
        <v>189891210.33999997</v>
      </c>
      <c r="P282" s="236">
        <f t="shared" si="19"/>
        <v>1342150454.1699998</v>
      </c>
      <c r="Q282" s="237"/>
    </row>
  </sheetData>
  <mergeCells count="2">
    <mergeCell ref="B1:P1"/>
    <mergeCell ref="B2:P2"/>
  </mergeCells>
  <pageMargins left="0.15748031496062992" right="0.15748031496062992" top="0.23622047244094491" bottom="0.19685039370078741" header="0.15748031496062992" footer="0.15748031496062992"/>
  <pageSetup scale="6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sqref="A1:F35"/>
    </sheetView>
  </sheetViews>
  <sheetFormatPr baseColWidth="10" defaultRowHeight="12.75"/>
  <cols>
    <col min="1" max="1" width="37" bestFit="1" customWidth="1"/>
    <col min="2" max="2" width="16.140625" customWidth="1"/>
    <col min="3" max="3" width="15" customWidth="1"/>
    <col min="4" max="4" width="14.85546875" bestFit="1" customWidth="1"/>
    <col min="5" max="5" width="16" customWidth="1"/>
    <col min="6" max="6" width="38.140625" customWidth="1"/>
  </cols>
  <sheetData>
    <row r="1" spans="1:6" ht="15.75">
      <c r="A1" s="420" t="s">
        <v>366</v>
      </c>
      <c r="B1" s="421"/>
      <c r="C1" s="421"/>
      <c r="D1" s="421"/>
      <c r="E1" s="421"/>
      <c r="F1" s="422"/>
    </row>
    <row r="2" spans="1:6">
      <c r="A2" s="423" t="s">
        <v>1131</v>
      </c>
      <c r="B2" s="350"/>
      <c r="C2" s="350"/>
      <c r="D2" s="350"/>
      <c r="E2" s="350"/>
      <c r="F2" s="351"/>
    </row>
    <row r="3" spans="1:6">
      <c r="A3" s="423" t="s">
        <v>353</v>
      </c>
      <c r="B3" s="350"/>
      <c r="C3" s="350"/>
      <c r="D3" s="350"/>
      <c r="E3" s="350"/>
      <c r="F3" s="351"/>
    </row>
    <row r="4" spans="1:6" ht="13.5" thickBot="1">
      <c r="A4" s="103"/>
      <c r="B4" s="14"/>
      <c r="C4" s="14"/>
      <c r="D4" s="14"/>
      <c r="E4" s="14"/>
      <c r="F4" s="104"/>
    </row>
    <row r="5" spans="1:6" ht="13.5" thickBot="1">
      <c r="A5" s="449" t="s">
        <v>0</v>
      </c>
      <c r="B5" s="439" t="s">
        <v>208</v>
      </c>
      <c r="C5" s="440"/>
      <c r="D5" s="441" t="s">
        <v>40</v>
      </c>
      <c r="E5" s="441" t="s">
        <v>41</v>
      </c>
      <c r="F5" s="449" t="s">
        <v>238</v>
      </c>
    </row>
    <row r="6" spans="1:6" ht="13.5" thickBot="1">
      <c r="A6" s="450"/>
      <c r="B6" s="443">
        <v>2010</v>
      </c>
      <c r="C6" s="443">
        <v>2011</v>
      </c>
      <c r="D6" s="443">
        <v>2011</v>
      </c>
      <c r="E6" s="443"/>
      <c r="F6" s="450"/>
    </row>
    <row r="7" spans="1:6" ht="13.5" thickBot="1">
      <c r="A7" s="103"/>
      <c r="B7" s="14"/>
      <c r="C7" s="14"/>
      <c r="D7" s="14"/>
      <c r="E7" s="14"/>
      <c r="F7" s="104"/>
    </row>
    <row r="8" spans="1:6">
      <c r="A8" s="260"/>
      <c r="B8" s="116"/>
      <c r="C8" s="116"/>
      <c r="D8" s="116"/>
      <c r="E8" s="116"/>
      <c r="F8" s="263"/>
    </row>
    <row r="9" spans="1:6">
      <c r="A9" s="107" t="s">
        <v>174</v>
      </c>
      <c r="B9" s="250">
        <f>VLOOKUP($A9,[1]Derechos!$A$10:$G$32,7,0)</f>
        <v>0</v>
      </c>
      <c r="C9" s="96">
        <f>SUM('Ingresos Reales'!N15)</f>
        <v>0</v>
      </c>
      <c r="D9" s="24">
        <f>SUM('Presupuesto Ingresos'!N15)</f>
        <v>0</v>
      </c>
      <c r="E9" s="96">
        <f>SUM(C9-D9)</f>
        <v>0</v>
      </c>
      <c r="F9" s="108"/>
    </row>
    <row r="10" spans="1:6">
      <c r="A10" s="107"/>
      <c r="B10" s="250"/>
      <c r="C10" s="96"/>
      <c r="D10" s="24"/>
      <c r="E10" s="96"/>
      <c r="F10" s="108"/>
    </row>
    <row r="11" spans="1:6">
      <c r="A11" s="107" t="s">
        <v>175</v>
      </c>
      <c r="B11" s="250">
        <f>VLOOKUP($A11,[1]Derechos!$A$10:$G$32,7,0)</f>
        <v>720461.65</v>
      </c>
      <c r="C11" s="96">
        <f>SUM('Ingresos Reales'!N16)</f>
        <v>1173576.8500000001</v>
      </c>
      <c r="D11" s="24">
        <f>SUM('Presupuesto Ingresos'!N16)</f>
        <v>738000</v>
      </c>
      <c r="E11" s="96">
        <f>SUM(C11-D11)</f>
        <v>435576.85000000009</v>
      </c>
      <c r="F11" s="108"/>
    </row>
    <row r="12" spans="1:6">
      <c r="A12" s="107"/>
      <c r="B12" s="250"/>
      <c r="C12" s="96"/>
      <c r="D12" s="24"/>
      <c r="E12" s="96"/>
      <c r="F12" s="108"/>
    </row>
    <row r="13" spans="1:6">
      <c r="A13" s="107" t="s">
        <v>176</v>
      </c>
      <c r="B13" s="250">
        <f>VLOOKUP($A13,[1]Derechos!$A$10:$G$32,7,0)</f>
        <v>33750103.789999999</v>
      </c>
      <c r="C13" s="96">
        <f>SUM('Ingresos Reales'!N17)</f>
        <v>35888659.550000004</v>
      </c>
      <c r="D13" s="24">
        <f>SUM('Presupuesto Ingresos'!N17)</f>
        <v>28426853.32</v>
      </c>
      <c r="E13" s="96">
        <f>SUM(C13-D13)</f>
        <v>7461806.2300000042</v>
      </c>
      <c r="F13" s="108"/>
    </row>
    <row r="14" spans="1:6">
      <c r="A14" s="107"/>
      <c r="B14" s="250"/>
      <c r="C14" s="96"/>
      <c r="D14" s="24"/>
      <c r="E14" s="96"/>
      <c r="F14" s="108"/>
    </row>
    <row r="15" spans="1:6">
      <c r="A15" s="107" t="s">
        <v>177</v>
      </c>
      <c r="B15" s="250">
        <f>VLOOKUP($A15,[1]Derechos!$A$10:$G$32,7,0)</f>
        <v>948185</v>
      </c>
      <c r="C15" s="96">
        <f>SUM('Ingresos Reales'!N18)</f>
        <v>942036.58</v>
      </c>
      <c r="D15" s="24">
        <f>SUM('Presupuesto Ingresos'!N18)</f>
        <v>864000</v>
      </c>
      <c r="E15" s="96">
        <f>SUM(C15-D15)</f>
        <v>78036.579999999958</v>
      </c>
      <c r="F15" s="108"/>
    </row>
    <row r="16" spans="1:6">
      <c r="A16" s="107"/>
      <c r="B16" s="250"/>
      <c r="C16" s="96"/>
      <c r="D16" s="24"/>
      <c r="E16" s="96"/>
      <c r="F16" s="108"/>
    </row>
    <row r="17" spans="1:6">
      <c r="A17" s="107" t="s">
        <v>178</v>
      </c>
      <c r="B17" s="250">
        <f>VLOOKUP($A17,[1]Derechos!$A$10:$G$32,7,0)</f>
        <v>3117576.209999999</v>
      </c>
      <c r="C17" s="96">
        <f>SUM('Ingresos Reales'!N19)</f>
        <v>3533997.3</v>
      </c>
      <c r="D17" s="24">
        <f>SUM('Presupuesto Ingresos'!N19)</f>
        <v>3318000</v>
      </c>
      <c r="E17" s="96">
        <f>SUM(C17-D17)</f>
        <v>215997.29999999981</v>
      </c>
      <c r="F17" s="108"/>
    </row>
    <row r="18" spans="1:6">
      <c r="A18" s="107"/>
      <c r="B18" s="250"/>
      <c r="C18" s="96"/>
      <c r="D18" s="24"/>
      <c r="E18" s="96"/>
      <c r="F18" s="108"/>
    </row>
    <row r="19" spans="1:6">
      <c r="A19" s="107" t="s">
        <v>179</v>
      </c>
      <c r="B19" s="250">
        <f>VLOOKUP($A19,[1]Derechos!$A$10:$G$32,7,0)</f>
        <v>0</v>
      </c>
      <c r="C19" s="96">
        <f>SUM('Ingresos Reales'!N20)</f>
        <v>0</v>
      </c>
      <c r="D19" s="24">
        <f>SUM('Presupuesto Ingresos'!N20)</f>
        <v>0</v>
      </c>
      <c r="E19" s="96">
        <f>SUM(C19-D19)</f>
        <v>0</v>
      </c>
      <c r="F19" s="108"/>
    </row>
    <row r="20" spans="1:6">
      <c r="A20" s="107"/>
      <c r="B20" s="250"/>
      <c r="C20" s="96"/>
      <c r="D20" s="24"/>
      <c r="E20" s="96"/>
      <c r="F20" s="108"/>
    </row>
    <row r="21" spans="1:6">
      <c r="A21" s="107" t="s">
        <v>273</v>
      </c>
      <c r="B21" s="250">
        <f>VLOOKUP($A21,[1]Derechos!$A$10:$G$32,7,0)</f>
        <v>2392695.8000000003</v>
      </c>
      <c r="C21" s="96">
        <f>SUM('Ingresos Reales'!N21)</f>
        <v>3165286.75</v>
      </c>
      <c r="D21" s="24">
        <f>SUM('Presupuesto Ingresos'!N21)</f>
        <v>2633000</v>
      </c>
      <c r="E21" s="96">
        <f>SUM(C21-D21)</f>
        <v>532286.75</v>
      </c>
      <c r="F21" s="108"/>
    </row>
    <row r="22" spans="1:6">
      <c r="A22" s="107"/>
      <c r="B22" s="250"/>
      <c r="C22" s="96"/>
      <c r="D22" s="24"/>
      <c r="E22" s="96"/>
      <c r="F22" s="108"/>
    </row>
    <row r="23" spans="1:6">
      <c r="A23" s="107" t="s">
        <v>180</v>
      </c>
      <c r="B23" s="250">
        <f>VLOOKUP($A23,[1]Derechos!$A$10:$G$32,7,0)</f>
        <v>0</v>
      </c>
      <c r="C23" s="96">
        <f>SUM('Ingresos Reales'!N22)</f>
        <v>0</v>
      </c>
      <c r="D23" s="24">
        <f>SUM('Presupuesto Ingresos'!N22)</f>
        <v>0</v>
      </c>
      <c r="E23" s="96">
        <f>SUM(C23-D23)</f>
        <v>0</v>
      </c>
      <c r="F23" s="108"/>
    </row>
    <row r="24" spans="1:6">
      <c r="A24" s="107"/>
      <c r="B24" s="250"/>
      <c r="C24" s="96"/>
      <c r="D24" s="24"/>
      <c r="E24" s="96"/>
      <c r="F24" s="108"/>
    </row>
    <row r="25" spans="1:6">
      <c r="A25" s="107" t="s">
        <v>181</v>
      </c>
      <c r="B25" s="250">
        <f>VLOOKUP($A25,[1]Derechos!$A$10:$G$32,7,0)</f>
        <v>0</v>
      </c>
      <c r="C25" s="96">
        <f>SUM('Ingresos Reales'!N23)</f>
        <v>0</v>
      </c>
      <c r="D25" s="24">
        <f>SUM('Presupuesto Ingresos'!N23)</f>
        <v>0</v>
      </c>
      <c r="E25" s="96">
        <f>SUM(C25-D25)</f>
        <v>0</v>
      </c>
      <c r="F25" s="108"/>
    </row>
    <row r="26" spans="1:6">
      <c r="A26" s="107"/>
      <c r="B26" s="250"/>
      <c r="C26" s="96"/>
      <c r="D26" s="24"/>
      <c r="E26" s="96"/>
      <c r="F26" s="108"/>
    </row>
    <row r="27" spans="1:6">
      <c r="A27" s="107" t="s">
        <v>182</v>
      </c>
      <c r="B27" s="250">
        <f>VLOOKUP($A27,[1]Derechos!$A$10:$G$32,7,0)</f>
        <v>774916.1</v>
      </c>
      <c r="C27" s="96">
        <f>SUM('Ingresos Reales'!N24)</f>
        <v>1236286.31</v>
      </c>
      <c r="D27" s="24">
        <f>SUM('Presupuesto Ingresos'!N24)</f>
        <v>804000</v>
      </c>
      <c r="E27" s="96">
        <f>SUM(C27-D27)</f>
        <v>432286.31000000006</v>
      </c>
      <c r="F27" s="108"/>
    </row>
    <row r="28" spans="1:6">
      <c r="A28" s="107"/>
      <c r="B28" s="250"/>
      <c r="C28" s="96"/>
      <c r="D28" s="24"/>
      <c r="E28" s="96"/>
      <c r="F28" s="108"/>
    </row>
    <row r="29" spans="1:6">
      <c r="A29" s="107" t="s">
        <v>28</v>
      </c>
      <c r="B29" s="250">
        <f>VLOOKUP($A29,[1]Derechos!$A$10:$G$32,7,0)</f>
        <v>4947667.05</v>
      </c>
      <c r="C29" s="96">
        <f>SUM('Ingresos Reales'!N25)</f>
        <v>5820442.1600000001</v>
      </c>
      <c r="D29" s="24">
        <f>SUM('Presupuesto Ingresos'!N25)</f>
        <v>5505000</v>
      </c>
      <c r="E29" s="96">
        <f>SUM(C29-D29)</f>
        <v>315442.16000000015</v>
      </c>
      <c r="F29" s="108"/>
    </row>
    <row r="30" spans="1:6">
      <c r="A30" s="107"/>
      <c r="B30" s="250"/>
      <c r="C30" s="96"/>
      <c r="D30" s="24"/>
      <c r="E30" s="96"/>
      <c r="F30" s="108"/>
    </row>
    <row r="31" spans="1:6">
      <c r="A31" s="107" t="s">
        <v>150</v>
      </c>
      <c r="B31" s="250">
        <f>VLOOKUP($A31,[1]Derechos!$A$10:$G$32,7,0)</f>
        <v>0</v>
      </c>
      <c r="C31" s="96">
        <f>SUM('Ingresos Reales'!N26)</f>
        <v>0</v>
      </c>
      <c r="D31" s="24">
        <f>SUM('Presupuesto Ingresos'!N26)</f>
        <v>0</v>
      </c>
      <c r="E31" s="96">
        <f>SUM(C31-D31)</f>
        <v>0</v>
      </c>
      <c r="F31" s="108"/>
    </row>
    <row r="32" spans="1:6">
      <c r="A32" s="109"/>
      <c r="B32" s="25"/>
      <c r="C32" s="25"/>
      <c r="D32" s="25"/>
      <c r="E32" s="25"/>
      <c r="F32" s="108"/>
    </row>
    <row r="33" spans="1:6">
      <c r="A33" s="103"/>
      <c r="B33" s="14"/>
      <c r="C33" s="14"/>
      <c r="D33" s="14"/>
      <c r="E33" s="14"/>
      <c r="F33" s="108"/>
    </row>
    <row r="34" spans="1:6" ht="25.5" customHeight="1">
      <c r="A34" s="436" t="s">
        <v>4</v>
      </c>
      <c r="B34" s="437">
        <f>SUM(B8:B32)</f>
        <v>46651605.599999994</v>
      </c>
      <c r="C34" s="437">
        <f>SUM(C8:C32)</f>
        <v>51760285.5</v>
      </c>
      <c r="D34" s="437">
        <f>SUM(D8:D32)</f>
        <v>42288853.32</v>
      </c>
      <c r="E34" s="437">
        <f>SUM(E8:E32)</f>
        <v>9471432.1800000053</v>
      </c>
      <c r="F34" s="446"/>
    </row>
    <row r="35" spans="1:6" ht="13.5" thickBot="1">
      <c r="A35" s="113"/>
      <c r="B35" s="114"/>
      <c r="C35" s="114"/>
      <c r="D35" s="114"/>
      <c r="E35" s="114"/>
      <c r="F35" s="267"/>
    </row>
    <row r="36" spans="1:6">
      <c r="A36" s="103"/>
      <c r="B36" s="14"/>
      <c r="C36" s="14"/>
      <c r="D36" s="14"/>
      <c r="E36" s="14"/>
      <c r="F36" s="104"/>
    </row>
    <row r="37" spans="1:6">
      <c r="A37" s="103"/>
      <c r="B37" s="14"/>
      <c r="C37" s="14"/>
      <c r="D37" s="14"/>
      <c r="E37" s="14"/>
      <c r="F37" s="104"/>
    </row>
    <row r="38" spans="1:6">
      <c r="A38" s="103"/>
      <c r="B38" s="14"/>
      <c r="C38" s="14"/>
      <c r="D38" s="14"/>
      <c r="E38" s="14"/>
      <c r="F38" s="104"/>
    </row>
    <row r="39" spans="1:6">
      <c r="A39" s="103"/>
      <c r="B39" s="14"/>
      <c r="C39" s="14"/>
      <c r="D39" s="14"/>
      <c r="E39" s="14"/>
      <c r="F39" s="104"/>
    </row>
    <row r="40" spans="1:6">
      <c r="A40" s="103"/>
      <c r="B40" s="14"/>
      <c r="C40" s="14"/>
      <c r="D40" s="14"/>
      <c r="E40" s="14"/>
      <c r="F40" s="104"/>
    </row>
    <row r="41" spans="1:6">
      <c r="A41" s="103"/>
      <c r="B41" s="14"/>
      <c r="C41" s="14"/>
      <c r="D41" s="14"/>
      <c r="E41" s="14"/>
      <c r="F41" s="104"/>
    </row>
    <row r="42" spans="1:6">
      <c r="A42" s="103"/>
      <c r="B42" s="14"/>
      <c r="C42" s="14"/>
      <c r="D42" s="14"/>
      <c r="E42" s="14"/>
      <c r="F42" s="104"/>
    </row>
    <row r="43" spans="1:6">
      <c r="A43" s="103"/>
      <c r="B43" s="14"/>
      <c r="C43" s="14"/>
      <c r="D43" s="14"/>
      <c r="E43" s="14"/>
      <c r="F43" s="104"/>
    </row>
    <row r="44" spans="1:6" ht="13.5" thickBot="1">
      <c r="A44" s="113"/>
      <c r="B44" s="114"/>
      <c r="C44" s="114"/>
      <c r="D44" s="114"/>
      <c r="E44" s="114"/>
      <c r="F44" s="115"/>
    </row>
  </sheetData>
  <mergeCells count="6">
    <mergeCell ref="A2:F2"/>
    <mergeCell ref="A3:F3"/>
    <mergeCell ref="B5:C5"/>
    <mergeCell ref="A1:F1"/>
    <mergeCell ref="A5:A6"/>
    <mergeCell ref="F5:F6"/>
  </mergeCells>
  <phoneticPr fontId="7" type="noConversion"/>
  <printOptions horizontalCentered="1"/>
  <pageMargins left="0.23622047244094491" right="0.39370078740157483" top="0.23622047244094491" bottom="0.39370078740157483" header="0" footer="0.27559055118110237"/>
  <pageSetup scale="9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>
      <selection activeCell="A16" sqref="A16:F16"/>
    </sheetView>
  </sheetViews>
  <sheetFormatPr baseColWidth="10" defaultRowHeight="12.75"/>
  <cols>
    <col min="1" max="1" width="37" customWidth="1"/>
    <col min="2" max="2" width="16.5703125" customWidth="1"/>
    <col min="3" max="3" width="15.28515625" customWidth="1"/>
    <col min="4" max="4" width="15.42578125" customWidth="1"/>
    <col min="5" max="5" width="15.28515625" customWidth="1"/>
    <col min="6" max="6" width="34.5703125" customWidth="1"/>
  </cols>
  <sheetData>
    <row r="1" spans="1:6" ht="15.75">
      <c r="A1" s="420" t="s">
        <v>366</v>
      </c>
      <c r="B1" s="421"/>
      <c r="C1" s="421"/>
      <c r="D1" s="421"/>
      <c r="E1" s="421"/>
      <c r="F1" s="422"/>
    </row>
    <row r="2" spans="1:6">
      <c r="A2" s="423" t="s">
        <v>1131</v>
      </c>
      <c r="B2" s="350"/>
      <c r="C2" s="350"/>
      <c r="D2" s="350"/>
      <c r="E2" s="350"/>
      <c r="F2" s="351"/>
    </row>
    <row r="3" spans="1:6">
      <c r="A3" s="423" t="s">
        <v>288</v>
      </c>
      <c r="B3" s="350"/>
      <c r="C3" s="350"/>
      <c r="D3" s="350"/>
      <c r="E3" s="350"/>
      <c r="F3" s="351"/>
    </row>
    <row r="4" spans="1:6" ht="13.5" thickBot="1">
      <c r="A4" s="103"/>
      <c r="B4" s="14"/>
      <c r="C4" s="14"/>
      <c r="D4" s="14"/>
      <c r="E4" s="14"/>
      <c r="F4" s="104"/>
    </row>
    <row r="5" spans="1:6" ht="13.5" thickBot="1">
      <c r="A5" s="438" t="s">
        <v>0</v>
      </c>
      <c r="B5" s="439" t="s">
        <v>208</v>
      </c>
      <c r="C5" s="440"/>
      <c r="D5" s="441" t="s">
        <v>40</v>
      </c>
      <c r="E5" s="441" t="s">
        <v>41</v>
      </c>
      <c r="F5" s="438" t="s">
        <v>238</v>
      </c>
    </row>
    <row r="6" spans="1:6" ht="13.5" thickBot="1">
      <c r="A6" s="442"/>
      <c r="B6" s="443">
        <v>2010</v>
      </c>
      <c r="C6" s="443">
        <v>2011</v>
      </c>
      <c r="D6" s="443">
        <v>2011</v>
      </c>
      <c r="E6" s="443"/>
      <c r="F6" s="444"/>
    </row>
    <row r="7" spans="1:6" ht="13.5" thickBot="1">
      <c r="A7" s="103"/>
      <c r="B7" s="14"/>
      <c r="C7" s="14"/>
      <c r="D7" s="14"/>
      <c r="E7" s="14"/>
      <c r="F7" s="104"/>
    </row>
    <row r="8" spans="1:6">
      <c r="A8" s="260"/>
      <c r="B8" s="116"/>
      <c r="C8" s="116"/>
      <c r="D8" s="116"/>
      <c r="E8" s="116"/>
      <c r="F8" s="263"/>
    </row>
    <row r="9" spans="1:6">
      <c r="A9" s="264" t="s">
        <v>290</v>
      </c>
      <c r="B9" s="254">
        <v>0</v>
      </c>
      <c r="C9" s="97">
        <f>SUM('Ingresos Reales'!N29)</f>
        <v>0</v>
      </c>
      <c r="D9" s="77">
        <f>SUM('Presupuesto Ingresos'!N29)</f>
        <v>0</v>
      </c>
      <c r="E9" s="97">
        <f>SUM(C9-D9)</f>
        <v>0</v>
      </c>
      <c r="F9" s="108"/>
    </row>
    <row r="10" spans="1:6">
      <c r="A10" s="264"/>
      <c r="B10" s="254"/>
      <c r="C10" s="97"/>
      <c r="D10" s="77"/>
      <c r="E10" s="97"/>
      <c r="F10" s="108"/>
    </row>
    <row r="11" spans="1:6" ht="25.5">
      <c r="A11" s="264" t="s">
        <v>334</v>
      </c>
      <c r="B11" s="254">
        <v>0</v>
      </c>
      <c r="C11" s="97">
        <f>SUM('Ingresos Reales'!N30)</f>
        <v>0</v>
      </c>
      <c r="D11" s="77">
        <f>SUM('Presupuesto Ingresos'!N30)</f>
        <v>0</v>
      </c>
      <c r="E11" s="97">
        <f>SUM(C11-D11)</f>
        <v>0</v>
      </c>
      <c r="F11" s="108"/>
    </row>
    <row r="12" spans="1:6">
      <c r="A12" s="264"/>
      <c r="B12" s="254"/>
      <c r="C12" s="97"/>
      <c r="D12" s="77"/>
      <c r="E12" s="97"/>
      <c r="F12" s="108"/>
    </row>
    <row r="13" spans="1:6">
      <c r="A13" s="264" t="s">
        <v>291</v>
      </c>
      <c r="B13" s="254">
        <v>0</v>
      </c>
      <c r="C13" s="97">
        <f>SUM('Ingresos Reales'!N31)</f>
        <v>0</v>
      </c>
      <c r="D13" s="77">
        <f>SUM('Presupuesto Ingresos'!N31)</f>
        <v>0</v>
      </c>
      <c r="E13" s="97">
        <f>SUM(C13-D13)</f>
        <v>0</v>
      </c>
      <c r="F13" s="108"/>
    </row>
    <row r="14" spans="1:6">
      <c r="A14" s="109"/>
      <c r="B14" s="25"/>
      <c r="C14" s="25"/>
      <c r="D14" s="25"/>
      <c r="E14" s="25"/>
      <c r="F14" s="108"/>
    </row>
    <row r="15" spans="1:6" ht="13.5" thickBot="1">
      <c r="A15" s="103"/>
      <c r="B15" s="45"/>
      <c r="C15" s="45"/>
      <c r="D15" s="45"/>
      <c r="E15" s="45"/>
      <c r="F15" s="108"/>
    </row>
    <row r="16" spans="1:6" ht="26.25" customHeight="1" thickBot="1">
      <c r="A16" s="426" t="s">
        <v>4</v>
      </c>
      <c r="B16" s="427">
        <f>SUM(B8:B14)</f>
        <v>0</v>
      </c>
      <c r="C16" s="452">
        <f>SUM(C8:C14)</f>
        <v>0</v>
      </c>
      <c r="D16" s="427">
        <f>SUM(D8:D14)</f>
        <v>0</v>
      </c>
      <c r="E16" s="452">
        <f>SUM(E8:E14)</f>
        <v>0</v>
      </c>
      <c r="F16" s="453"/>
    </row>
    <row r="17" spans="1:6" ht="13.5" thickBot="1">
      <c r="A17" s="113"/>
      <c r="B17" s="114"/>
      <c r="C17" s="114"/>
      <c r="D17" s="114"/>
      <c r="E17" s="114"/>
      <c r="F17" s="267"/>
    </row>
    <row r="18" spans="1:6">
      <c r="A18" s="103"/>
      <c r="B18" s="14"/>
      <c r="C18" s="14"/>
      <c r="D18" s="14"/>
      <c r="E18" s="14"/>
      <c r="F18" s="104"/>
    </row>
    <row r="19" spans="1:6">
      <c r="A19" s="103"/>
      <c r="B19" s="14"/>
      <c r="C19" s="14"/>
      <c r="D19" s="14"/>
      <c r="E19" s="14"/>
      <c r="F19" s="104"/>
    </row>
    <row r="20" spans="1:6">
      <c r="A20" s="103"/>
      <c r="B20" s="14"/>
      <c r="C20" s="14"/>
      <c r="D20" s="14"/>
      <c r="E20" s="14"/>
      <c r="F20" s="104"/>
    </row>
    <row r="21" spans="1:6">
      <c r="A21" s="103"/>
      <c r="B21" s="14"/>
      <c r="C21" s="14"/>
      <c r="D21" s="14"/>
      <c r="E21" s="14"/>
      <c r="F21" s="104"/>
    </row>
    <row r="22" spans="1:6">
      <c r="A22" s="103"/>
      <c r="B22" s="14"/>
      <c r="C22" s="14"/>
      <c r="D22" s="14"/>
      <c r="E22" s="14"/>
      <c r="F22" s="104"/>
    </row>
    <row r="23" spans="1:6">
      <c r="A23" s="103"/>
      <c r="B23" s="14"/>
      <c r="C23" s="14"/>
      <c r="D23" s="14"/>
      <c r="E23" s="14"/>
      <c r="F23" s="104"/>
    </row>
    <row r="24" spans="1:6">
      <c r="A24" s="103"/>
      <c r="B24" s="14"/>
      <c r="C24" s="14"/>
      <c r="D24" s="14"/>
      <c r="E24" s="14"/>
      <c r="F24" s="104"/>
    </row>
    <row r="25" spans="1:6">
      <c r="A25" s="103"/>
      <c r="B25" s="14"/>
      <c r="C25" s="14"/>
      <c r="D25" s="14"/>
      <c r="E25" s="14"/>
      <c r="F25" s="104"/>
    </row>
    <row r="26" spans="1:6">
      <c r="A26" s="103"/>
      <c r="B26" s="14"/>
      <c r="C26" s="14"/>
      <c r="D26" s="14"/>
      <c r="E26" s="14"/>
      <c r="F26" s="104"/>
    </row>
    <row r="27" spans="1:6">
      <c r="A27" s="103"/>
      <c r="B27" s="14"/>
      <c r="C27" s="14"/>
      <c r="D27" s="14"/>
      <c r="E27" s="14"/>
      <c r="F27" s="104"/>
    </row>
    <row r="28" spans="1:6">
      <c r="A28" s="103"/>
      <c r="B28" s="14"/>
      <c r="C28" s="14"/>
      <c r="D28" s="14"/>
      <c r="E28" s="14"/>
      <c r="F28" s="104"/>
    </row>
    <row r="29" spans="1:6">
      <c r="A29" s="103"/>
      <c r="B29" s="14"/>
      <c r="C29" s="14"/>
      <c r="D29" s="14"/>
      <c r="E29" s="14"/>
      <c r="F29" s="104"/>
    </row>
    <row r="30" spans="1:6">
      <c r="A30" s="103"/>
      <c r="B30" s="14"/>
      <c r="C30" s="14"/>
      <c r="D30" s="14"/>
      <c r="E30" s="14"/>
      <c r="F30" s="104"/>
    </row>
    <row r="31" spans="1:6">
      <c r="A31" s="103"/>
      <c r="B31" s="14"/>
      <c r="C31" s="14"/>
      <c r="D31" s="14"/>
      <c r="E31" s="14"/>
      <c r="F31" s="104"/>
    </row>
    <row r="32" spans="1:6">
      <c r="A32" s="103"/>
      <c r="B32" s="14"/>
      <c r="C32" s="14"/>
      <c r="D32" s="14"/>
      <c r="E32" s="14"/>
      <c r="F32" s="104"/>
    </row>
    <row r="33" spans="1:6">
      <c r="A33" s="103"/>
      <c r="B33" s="14"/>
      <c r="C33" s="14"/>
      <c r="D33" s="14"/>
      <c r="E33" s="14"/>
      <c r="F33" s="104"/>
    </row>
    <row r="34" spans="1:6">
      <c r="A34" s="103"/>
      <c r="B34" s="14"/>
      <c r="C34" s="14"/>
      <c r="D34" s="14"/>
      <c r="E34" s="14"/>
      <c r="F34" s="104"/>
    </row>
    <row r="35" spans="1:6">
      <c r="A35" s="103"/>
      <c r="B35" s="14"/>
      <c r="C35" s="14"/>
      <c r="D35" s="14"/>
      <c r="E35" s="14"/>
      <c r="F35" s="104"/>
    </row>
    <row r="36" spans="1:6">
      <c r="A36" s="103"/>
      <c r="B36" s="14"/>
      <c r="C36" s="14"/>
      <c r="D36" s="14"/>
      <c r="E36" s="14"/>
      <c r="F36" s="104"/>
    </row>
    <row r="37" spans="1:6">
      <c r="A37" s="103"/>
      <c r="B37" s="14"/>
      <c r="C37" s="14"/>
      <c r="D37" s="14"/>
      <c r="E37" s="14"/>
      <c r="F37" s="104"/>
    </row>
    <row r="38" spans="1:6">
      <c r="A38" s="103"/>
      <c r="B38" s="14"/>
      <c r="C38" s="14"/>
      <c r="D38" s="14"/>
      <c r="E38" s="14"/>
      <c r="F38" s="104"/>
    </row>
    <row r="39" spans="1:6">
      <c r="A39" s="103"/>
      <c r="B39" s="14"/>
      <c r="C39" s="14"/>
      <c r="D39" s="14"/>
      <c r="E39" s="14"/>
      <c r="F39" s="104"/>
    </row>
    <row r="40" spans="1:6">
      <c r="A40" s="103"/>
      <c r="B40" s="14"/>
      <c r="C40" s="14"/>
      <c r="D40" s="14"/>
      <c r="E40" s="14"/>
      <c r="F40" s="104"/>
    </row>
    <row r="41" spans="1:6">
      <c r="A41" s="103"/>
      <c r="B41" s="14"/>
      <c r="C41" s="14"/>
      <c r="D41" s="14"/>
      <c r="E41" s="14"/>
      <c r="F41" s="104"/>
    </row>
    <row r="42" spans="1:6">
      <c r="A42" s="103"/>
      <c r="B42" s="14"/>
      <c r="C42" s="14"/>
      <c r="D42" s="14"/>
      <c r="E42" s="14"/>
      <c r="F42" s="104"/>
    </row>
    <row r="43" spans="1:6" ht="13.5" thickBot="1">
      <c r="A43" s="113"/>
      <c r="B43" s="114"/>
      <c r="C43" s="114"/>
      <c r="D43" s="114"/>
      <c r="E43" s="114"/>
      <c r="F43" s="115"/>
    </row>
  </sheetData>
  <mergeCells count="4">
    <mergeCell ref="A2:F2"/>
    <mergeCell ref="A3:F3"/>
    <mergeCell ref="B5:C5"/>
    <mergeCell ref="A1:F1"/>
  </mergeCells>
  <phoneticPr fontId="7" type="noConversion"/>
  <printOptions horizontalCentered="1"/>
  <pageMargins left="0.75" right="0.75" top="0.28000000000000003" bottom="1" header="0" footer="0"/>
  <pageSetup scale="9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topLeftCell="A22" workbookViewId="0">
      <selection activeCell="A33" sqref="A1:F33"/>
    </sheetView>
  </sheetViews>
  <sheetFormatPr baseColWidth="10" defaultRowHeight="12.75"/>
  <cols>
    <col min="1" max="1" width="37.7109375" bestFit="1" customWidth="1"/>
    <col min="2" max="2" width="16.85546875" customWidth="1"/>
    <col min="3" max="3" width="15.28515625" customWidth="1"/>
    <col min="4" max="4" width="14.85546875" bestFit="1" customWidth="1"/>
    <col min="5" max="5" width="15.28515625" customWidth="1"/>
    <col min="6" max="6" width="34.5703125" customWidth="1"/>
  </cols>
  <sheetData>
    <row r="1" spans="1:6" ht="15.75">
      <c r="A1" s="420" t="s">
        <v>366</v>
      </c>
      <c r="B1" s="421"/>
      <c r="C1" s="421"/>
      <c r="D1" s="421"/>
      <c r="E1" s="421"/>
      <c r="F1" s="422"/>
    </row>
    <row r="2" spans="1:6">
      <c r="A2" s="423" t="s">
        <v>1131</v>
      </c>
      <c r="B2" s="350"/>
      <c r="C2" s="350"/>
      <c r="D2" s="350"/>
      <c r="E2" s="350"/>
      <c r="F2" s="351"/>
    </row>
    <row r="3" spans="1:6">
      <c r="A3" s="423" t="s">
        <v>43</v>
      </c>
      <c r="B3" s="350"/>
      <c r="C3" s="350"/>
      <c r="D3" s="350"/>
      <c r="E3" s="350"/>
      <c r="F3" s="351"/>
    </row>
    <row r="4" spans="1:6" ht="13.5" thickBot="1">
      <c r="A4" s="103"/>
      <c r="B4" s="14"/>
      <c r="C4" s="14"/>
      <c r="D4" s="14"/>
      <c r="E4" s="14"/>
      <c r="F4" s="104"/>
    </row>
    <row r="5" spans="1:6" ht="13.5" thickBot="1">
      <c r="A5" s="438" t="s">
        <v>0</v>
      </c>
      <c r="B5" s="439" t="s">
        <v>208</v>
      </c>
      <c r="C5" s="440"/>
      <c r="D5" s="441" t="s">
        <v>40</v>
      </c>
      <c r="E5" s="441" t="s">
        <v>41</v>
      </c>
      <c r="F5" s="438" t="s">
        <v>238</v>
      </c>
    </row>
    <row r="6" spans="1:6" ht="13.5" thickBot="1">
      <c r="A6" s="442"/>
      <c r="B6" s="443">
        <v>2010</v>
      </c>
      <c r="C6" s="443">
        <v>2011</v>
      </c>
      <c r="D6" s="443">
        <v>2011</v>
      </c>
      <c r="E6" s="443"/>
      <c r="F6" s="444"/>
    </row>
    <row r="7" spans="1:6">
      <c r="A7" s="103"/>
      <c r="B7" s="14"/>
      <c r="C7" s="14"/>
      <c r="D7" s="14"/>
      <c r="E7" s="14"/>
      <c r="F7" s="104"/>
    </row>
    <row r="8" spans="1:6">
      <c r="A8" s="105"/>
      <c r="B8" s="23"/>
      <c r="C8" s="23"/>
      <c r="D8" s="23"/>
      <c r="E8" s="23"/>
      <c r="F8" s="106"/>
    </row>
    <row r="9" spans="1:6">
      <c r="A9" s="107" t="s">
        <v>44</v>
      </c>
      <c r="B9" s="250">
        <f>VLOOKUP($A9,[1]Productos!$A$10:$H$31,7,0)</f>
        <v>2059771.38</v>
      </c>
      <c r="C9" s="96">
        <f>SUM('Ingresos Reales'!N34)</f>
        <v>629876</v>
      </c>
      <c r="D9" s="24">
        <f>SUM('Presupuesto Ingresos'!N34)</f>
        <v>2173000</v>
      </c>
      <c r="E9" s="96">
        <f>SUM(C9-D9)</f>
        <v>-1543124</v>
      </c>
      <c r="F9" s="108"/>
    </row>
    <row r="10" spans="1:6">
      <c r="A10" s="107"/>
      <c r="B10" s="250"/>
      <c r="C10" s="96"/>
      <c r="D10" s="24"/>
      <c r="E10" s="96"/>
      <c r="F10" s="108"/>
    </row>
    <row r="11" spans="1:6">
      <c r="A11" s="107" t="s">
        <v>45</v>
      </c>
      <c r="B11" s="250">
        <f>VLOOKUP($A11,[1]Productos!$A$10:$H$31,7,0)</f>
        <v>2323228.4199999995</v>
      </c>
      <c r="C11" s="96">
        <f>SUM('Ingresos Reales'!N35)</f>
        <v>4944336.9399999995</v>
      </c>
      <c r="D11" s="24">
        <f>SUM('Presupuesto Ingresos'!N35)</f>
        <v>2673000</v>
      </c>
      <c r="E11" s="96">
        <f>SUM(C11-D11)</f>
        <v>2271336.9399999995</v>
      </c>
      <c r="F11" s="108"/>
    </row>
    <row r="12" spans="1:6">
      <c r="A12" s="107"/>
      <c r="B12" s="250"/>
      <c r="C12" s="96"/>
      <c r="D12" s="24"/>
      <c r="E12" s="96"/>
      <c r="F12" s="108"/>
    </row>
    <row r="13" spans="1:6">
      <c r="A13" s="107" t="s">
        <v>183</v>
      </c>
      <c r="B13" s="250">
        <f>VLOOKUP($A13,[1]Productos!$A$10:$H$31,7,0)</f>
        <v>0</v>
      </c>
      <c r="C13" s="96">
        <f>SUM('Ingresos Reales'!N36)</f>
        <v>0</v>
      </c>
      <c r="D13" s="24">
        <f>SUM('Presupuesto Ingresos'!N36)</f>
        <v>0</v>
      </c>
      <c r="E13" s="96">
        <f>SUM(C13-D13)</f>
        <v>0</v>
      </c>
      <c r="F13" s="108"/>
    </row>
    <row r="14" spans="1:6">
      <c r="A14" s="107"/>
      <c r="B14" s="250"/>
      <c r="C14" s="96"/>
      <c r="D14" s="24"/>
      <c r="E14" s="96"/>
      <c r="F14" s="108"/>
    </row>
    <row r="15" spans="1:6">
      <c r="A15" s="107" t="s">
        <v>184</v>
      </c>
      <c r="B15" s="250">
        <f>VLOOKUP($A15,[1]Productos!$A$10:$H$31,7,0)</f>
        <v>0</v>
      </c>
      <c r="C15" s="96">
        <f>SUM('Ingresos Reales'!N37)</f>
        <v>0</v>
      </c>
      <c r="D15" s="24">
        <f>SUM('Presupuesto Ingresos'!N37)</f>
        <v>0</v>
      </c>
      <c r="E15" s="96">
        <f>SUM(C15-D15)</f>
        <v>0</v>
      </c>
      <c r="F15" s="108"/>
    </row>
    <row r="16" spans="1:6">
      <c r="A16" s="107"/>
      <c r="B16" s="250"/>
      <c r="C16" s="96"/>
      <c r="D16" s="24"/>
      <c r="E16" s="96"/>
      <c r="F16" s="108"/>
    </row>
    <row r="17" spans="1:6">
      <c r="A17" s="107" t="s">
        <v>185</v>
      </c>
      <c r="B17" s="250">
        <f>VLOOKUP($A17,[1]Productos!$A$10:$H$31,7,0)</f>
        <v>0</v>
      </c>
      <c r="C17" s="96">
        <f>SUM('Ingresos Reales'!N38)</f>
        <v>0</v>
      </c>
      <c r="D17" s="24">
        <f>SUM('Presupuesto Ingresos'!N38)</f>
        <v>0</v>
      </c>
      <c r="E17" s="96">
        <f>SUM(C17-D17)</f>
        <v>0</v>
      </c>
      <c r="F17" s="108"/>
    </row>
    <row r="18" spans="1:6">
      <c r="A18" s="107"/>
      <c r="B18" s="250"/>
      <c r="C18" s="96"/>
      <c r="D18" s="24"/>
      <c r="E18" s="96"/>
      <c r="F18" s="108"/>
    </row>
    <row r="19" spans="1:6">
      <c r="A19" s="107" t="s">
        <v>204</v>
      </c>
      <c r="B19" s="250">
        <f>VLOOKUP($A19,[1]Productos!$A$10:$H$31,7,0)</f>
        <v>0</v>
      </c>
      <c r="C19" s="96">
        <f>SUM('Ingresos Reales'!N39)</f>
        <v>0</v>
      </c>
      <c r="D19" s="24">
        <f>SUM('Presupuesto Ingresos'!N39)</f>
        <v>0</v>
      </c>
      <c r="E19" s="96">
        <f>SUM(C19-D19)</f>
        <v>0</v>
      </c>
      <c r="F19" s="108"/>
    </row>
    <row r="20" spans="1:6">
      <c r="A20" s="107"/>
      <c r="B20" s="250"/>
      <c r="C20" s="96"/>
      <c r="D20" s="24"/>
      <c r="E20" s="96"/>
      <c r="F20" s="108"/>
    </row>
    <row r="21" spans="1:6">
      <c r="A21" s="107" t="s">
        <v>186</v>
      </c>
      <c r="B21" s="250">
        <f>VLOOKUP($A21,[1]Productos!$A$10:$H$31,7,0)</f>
        <v>0</v>
      </c>
      <c r="C21" s="96">
        <f>SUM('Ingresos Reales'!N40)</f>
        <v>0</v>
      </c>
      <c r="D21" s="24">
        <f>SUM('Presupuesto Ingresos'!N40)</f>
        <v>0</v>
      </c>
      <c r="E21" s="96">
        <f>SUM(C21-D21)</f>
        <v>0</v>
      </c>
      <c r="F21" s="108"/>
    </row>
    <row r="22" spans="1:6">
      <c r="A22" s="107"/>
      <c r="B22" s="250"/>
      <c r="C22" s="96"/>
      <c r="D22" s="24"/>
      <c r="E22" s="96"/>
      <c r="F22" s="108"/>
    </row>
    <row r="23" spans="1:6">
      <c r="A23" s="107" t="s">
        <v>187</v>
      </c>
      <c r="B23" s="250">
        <f>VLOOKUP($A23,[1]Productos!$A$10:$H$31,7,0)</f>
        <v>0</v>
      </c>
      <c r="C23" s="96">
        <f>SUM('Ingresos Reales'!N41)</f>
        <v>0</v>
      </c>
      <c r="D23" s="24">
        <f>SUM('Presupuesto Ingresos'!N41)</f>
        <v>0</v>
      </c>
      <c r="E23" s="96">
        <f>SUM(C23-D23)</f>
        <v>0</v>
      </c>
      <c r="F23" s="108"/>
    </row>
    <row r="24" spans="1:6">
      <c r="A24" s="107"/>
      <c r="B24" s="250"/>
      <c r="C24" s="96"/>
      <c r="D24" s="24"/>
      <c r="E24" s="96"/>
      <c r="F24" s="108"/>
    </row>
    <row r="25" spans="1:6">
      <c r="A25" s="107" t="s">
        <v>29</v>
      </c>
      <c r="B25" s="250">
        <f>VLOOKUP($A25,[1]Productos!$A$10:$H$31,7,0)</f>
        <v>1503076.64</v>
      </c>
      <c r="C25" s="96">
        <f>SUM('Ingresos Reales'!N42)</f>
        <v>1639521.5799999998</v>
      </c>
      <c r="D25" s="24">
        <f>SUM('Presupuesto Ingresos'!N42)</f>
        <v>2136000</v>
      </c>
      <c r="E25" s="96">
        <f>SUM(C25-D25)</f>
        <v>-496478.42000000016</v>
      </c>
      <c r="F25" s="108"/>
    </row>
    <row r="26" spans="1:6">
      <c r="A26" s="107"/>
      <c r="B26" s="250"/>
      <c r="C26" s="96"/>
      <c r="D26" s="24"/>
      <c r="E26" s="96"/>
      <c r="F26" s="108"/>
    </row>
    <row r="27" spans="1:6">
      <c r="A27" s="107" t="s">
        <v>188</v>
      </c>
      <c r="B27" s="250">
        <f>VLOOKUP($A27,[1]Productos!$A$10:$H$31,7,0)</f>
        <v>0</v>
      </c>
      <c r="C27" s="96">
        <f>SUM('Ingresos Reales'!N43)</f>
        <v>0</v>
      </c>
      <c r="D27" s="24">
        <f>SUM('Presupuesto Ingresos'!N43)</f>
        <v>0</v>
      </c>
      <c r="E27" s="96">
        <f>SUM(C27-D27)</f>
        <v>0</v>
      </c>
      <c r="F27" s="108"/>
    </row>
    <row r="28" spans="1:6">
      <c r="A28" s="107"/>
      <c r="B28" s="250"/>
      <c r="C28" s="96"/>
      <c r="D28" s="24"/>
      <c r="E28" s="96"/>
      <c r="F28" s="108"/>
    </row>
    <row r="29" spans="1:6">
      <c r="A29" s="107" t="s">
        <v>28</v>
      </c>
      <c r="B29" s="250">
        <f>VLOOKUP($A29,[1]Productos!$A$10:$H$31,7,0)</f>
        <v>55444.600000000006</v>
      </c>
      <c r="C29" s="96">
        <f>SUM('Ingresos Reales'!N44)</f>
        <v>666.54000000000008</v>
      </c>
      <c r="D29" s="24">
        <f>SUM('Presupuesto Ingresos'!N44)</f>
        <v>69000</v>
      </c>
      <c r="E29" s="96">
        <f>SUM(C29-D29)</f>
        <v>-68333.460000000006</v>
      </c>
      <c r="F29" s="108"/>
    </row>
    <row r="30" spans="1:6">
      <c r="A30" s="109"/>
      <c r="B30" s="25"/>
      <c r="C30" s="25"/>
      <c r="D30" s="25"/>
      <c r="E30" s="25"/>
      <c r="F30" s="108"/>
    </row>
    <row r="31" spans="1:6" ht="13.5" thickBot="1">
      <c r="A31" s="103"/>
      <c r="B31" s="45"/>
      <c r="C31" s="45"/>
      <c r="D31" s="45"/>
      <c r="E31" s="45"/>
      <c r="F31" s="108"/>
    </row>
    <row r="32" spans="1:6" ht="25.5" customHeight="1" thickBot="1">
      <c r="A32" s="426" t="s">
        <v>4</v>
      </c>
      <c r="B32" s="452">
        <f>SUM(B8:B29)</f>
        <v>5941521.0399999982</v>
      </c>
      <c r="C32" s="452">
        <f>SUM(C9:C29)</f>
        <v>7214401.0599999996</v>
      </c>
      <c r="D32" s="452">
        <f>SUM(D8:D29)</f>
        <v>7051000</v>
      </c>
      <c r="E32" s="452">
        <f>SUM(E8:E29)</f>
        <v>163401.0599999993</v>
      </c>
      <c r="F32" s="457"/>
    </row>
    <row r="33" spans="1:6" ht="13.5" thickBot="1">
      <c r="A33" s="113"/>
      <c r="B33" s="114"/>
      <c r="C33" s="458"/>
      <c r="D33" s="114"/>
      <c r="E33" s="114"/>
      <c r="F33" s="267"/>
    </row>
    <row r="34" spans="1:6">
      <c r="A34" s="103"/>
      <c r="B34" s="14"/>
      <c r="C34" s="14"/>
      <c r="D34" s="14"/>
      <c r="E34" s="14"/>
      <c r="F34" s="104"/>
    </row>
    <row r="35" spans="1:6">
      <c r="A35" s="103"/>
      <c r="B35" s="14"/>
      <c r="C35" s="14"/>
      <c r="D35" s="14"/>
      <c r="E35" s="14"/>
      <c r="F35" s="104"/>
    </row>
    <row r="36" spans="1:6">
      <c r="A36" s="103"/>
      <c r="B36" s="14"/>
      <c r="C36" s="14"/>
      <c r="D36" s="14"/>
      <c r="E36" s="14"/>
      <c r="F36" s="104"/>
    </row>
    <row r="37" spans="1:6">
      <c r="A37" s="103"/>
      <c r="B37" s="14"/>
      <c r="C37" s="14"/>
      <c r="D37" s="14"/>
      <c r="E37" s="14"/>
      <c r="F37" s="104"/>
    </row>
    <row r="38" spans="1:6">
      <c r="A38" s="103"/>
      <c r="B38" s="14"/>
      <c r="C38" s="14"/>
      <c r="D38" s="14"/>
      <c r="E38" s="14"/>
      <c r="F38" s="104"/>
    </row>
    <row r="39" spans="1:6">
      <c r="A39" s="103"/>
      <c r="B39" s="14"/>
      <c r="C39" s="14"/>
      <c r="D39" s="14"/>
      <c r="E39" s="14"/>
      <c r="F39" s="104"/>
    </row>
    <row r="40" spans="1:6">
      <c r="A40" s="103"/>
      <c r="B40" s="14"/>
      <c r="C40" s="14"/>
      <c r="D40" s="14"/>
      <c r="E40" s="14"/>
      <c r="F40" s="104"/>
    </row>
    <row r="41" spans="1:6">
      <c r="A41" s="103"/>
      <c r="B41" s="14"/>
      <c r="C41" s="14"/>
      <c r="D41" s="14"/>
      <c r="E41" s="14"/>
      <c r="F41" s="104"/>
    </row>
    <row r="42" spans="1:6">
      <c r="A42" s="103"/>
      <c r="B42" s="14"/>
      <c r="C42" s="14"/>
      <c r="D42" s="14"/>
      <c r="E42" s="14"/>
      <c r="F42" s="104"/>
    </row>
    <row r="43" spans="1:6">
      <c r="A43" s="103"/>
      <c r="B43" s="14"/>
      <c r="C43" s="14"/>
      <c r="D43" s="14"/>
      <c r="E43" s="14"/>
      <c r="F43" s="104"/>
    </row>
    <row r="44" spans="1:6">
      <c r="A44" s="103"/>
      <c r="B44" s="14"/>
      <c r="C44" s="14"/>
      <c r="D44" s="14"/>
      <c r="E44" s="14"/>
      <c r="F44" s="104"/>
    </row>
    <row r="45" spans="1:6">
      <c r="A45" s="103"/>
      <c r="B45" s="14"/>
      <c r="C45" s="14"/>
      <c r="D45" s="14"/>
      <c r="E45" s="14"/>
      <c r="F45" s="104"/>
    </row>
    <row r="46" spans="1:6" ht="13.5" thickBot="1">
      <c r="A46" s="113"/>
      <c r="B46" s="114"/>
      <c r="C46" s="114"/>
      <c r="D46" s="114"/>
      <c r="E46" s="114"/>
      <c r="F46" s="115"/>
    </row>
  </sheetData>
  <mergeCells count="4">
    <mergeCell ref="A2:F2"/>
    <mergeCell ref="A3:F3"/>
    <mergeCell ref="B5:C5"/>
    <mergeCell ref="A1:F1"/>
  </mergeCells>
  <phoneticPr fontId="7" type="noConversion"/>
  <printOptions horizontalCentered="1"/>
  <pageMargins left="0.39370078740157483" right="0.39370078740157483" top="0.31496062992125984" bottom="0.15748031496062992" header="0" footer="0"/>
  <pageSetup scale="9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5"/>
  <sheetViews>
    <sheetView topLeftCell="A14" workbookViewId="0">
      <selection activeCell="A25" sqref="A1:F25"/>
    </sheetView>
  </sheetViews>
  <sheetFormatPr baseColWidth="10" defaultRowHeight="12.75"/>
  <cols>
    <col min="1" max="1" width="37" bestFit="1" customWidth="1"/>
    <col min="2" max="5" width="14.85546875" customWidth="1"/>
    <col min="6" max="6" width="40.140625" customWidth="1"/>
  </cols>
  <sheetData>
    <row r="1" spans="1:6" ht="15.75">
      <c r="A1" s="420" t="s">
        <v>366</v>
      </c>
      <c r="B1" s="421"/>
      <c r="C1" s="421"/>
      <c r="D1" s="421"/>
      <c r="E1" s="421"/>
      <c r="F1" s="422"/>
    </row>
    <row r="2" spans="1:6">
      <c r="A2" s="423" t="s">
        <v>1131</v>
      </c>
      <c r="B2" s="350"/>
      <c r="C2" s="350"/>
      <c r="D2" s="350"/>
      <c r="E2" s="350"/>
      <c r="F2" s="351"/>
    </row>
    <row r="3" spans="1:6">
      <c r="A3" s="423" t="s">
        <v>46</v>
      </c>
      <c r="B3" s="350"/>
      <c r="C3" s="350"/>
      <c r="D3" s="350"/>
      <c r="E3" s="350"/>
      <c r="F3" s="351"/>
    </row>
    <row r="4" spans="1:6" ht="13.5" thickBot="1">
      <c r="A4" s="103"/>
      <c r="B4" s="14"/>
      <c r="C4" s="14"/>
      <c r="D4" s="14"/>
      <c r="E4" s="14"/>
      <c r="F4" s="104"/>
    </row>
    <row r="5" spans="1:6" ht="13.5" thickBot="1">
      <c r="A5" s="438" t="s">
        <v>0</v>
      </c>
      <c r="B5" s="439" t="s">
        <v>208</v>
      </c>
      <c r="C5" s="440"/>
      <c r="D5" s="441" t="s">
        <v>40</v>
      </c>
      <c r="E5" s="441" t="s">
        <v>41</v>
      </c>
      <c r="F5" s="438" t="s">
        <v>238</v>
      </c>
    </row>
    <row r="6" spans="1:6" ht="13.5" thickBot="1">
      <c r="A6" s="442"/>
      <c r="B6" s="443">
        <v>2010</v>
      </c>
      <c r="C6" s="443">
        <v>2011</v>
      </c>
      <c r="D6" s="443">
        <v>2011</v>
      </c>
      <c r="E6" s="443"/>
      <c r="F6" s="444"/>
    </row>
    <row r="7" spans="1:6" ht="13.5" thickBot="1">
      <c r="A7" s="103"/>
      <c r="B7" s="14"/>
      <c r="C7" s="14"/>
      <c r="D7" s="14"/>
      <c r="E7" s="14"/>
      <c r="F7" s="104"/>
    </row>
    <row r="8" spans="1:6">
      <c r="A8" s="260"/>
      <c r="B8" s="116"/>
      <c r="C8" s="116"/>
      <c r="D8" s="116"/>
      <c r="E8" s="116"/>
      <c r="F8" s="263"/>
    </row>
    <row r="9" spans="1:6">
      <c r="A9" s="107" t="s">
        <v>30</v>
      </c>
      <c r="B9" s="250">
        <f>VLOOKUP($A9,[1]Aprovechamientos!$A$10:$I$22,7,0)</f>
        <v>24909694.429999996</v>
      </c>
      <c r="C9" s="96">
        <f>SUM('Ingresos Reales'!N47)</f>
        <v>40541000.909999996</v>
      </c>
      <c r="D9" s="24">
        <f>SUM('Presupuesto Ingresos'!N47)</f>
        <v>26007000</v>
      </c>
      <c r="E9" s="96">
        <f>SUM(C9-D9)</f>
        <v>14534000.909999996</v>
      </c>
      <c r="F9" s="108"/>
    </row>
    <row r="10" spans="1:6">
      <c r="A10" s="107"/>
      <c r="B10" s="250"/>
      <c r="C10" s="24"/>
      <c r="D10" s="24"/>
      <c r="E10" s="24"/>
      <c r="F10" s="108"/>
    </row>
    <row r="11" spans="1:6">
      <c r="A11" s="107" t="s">
        <v>31</v>
      </c>
      <c r="B11" s="250">
        <f>VLOOKUP($A11,[1]Aprovechamientos!$A$10:$I$22,7,0)</f>
        <v>22157900.539999999</v>
      </c>
      <c r="C11" s="96">
        <f>SUM('Ingresos Reales'!N48)</f>
        <v>27609926.43</v>
      </c>
      <c r="D11" s="24">
        <f>SUM('Presupuesto Ingresos'!N48)</f>
        <v>14411000</v>
      </c>
      <c r="E11" s="96">
        <f>SUM(C11-D11)</f>
        <v>13198926.43</v>
      </c>
      <c r="F11" s="108"/>
    </row>
    <row r="12" spans="1:6">
      <c r="A12" s="107"/>
      <c r="B12" s="250"/>
      <c r="C12" s="24"/>
      <c r="D12" s="24"/>
      <c r="E12" s="24"/>
      <c r="F12" s="108"/>
    </row>
    <row r="13" spans="1:6">
      <c r="A13" s="107" t="s">
        <v>32</v>
      </c>
      <c r="B13" s="250">
        <f>VLOOKUP($A13,[1]Aprovechamientos!$A$10:$I$22,7,0)</f>
        <v>0</v>
      </c>
      <c r="C13" s="96">
        <f>SUM('Ingresos Reales'!N49)</f>
        <v>0</v>
      </c>
      <c r="D13" s="24">
        <f>SUM('Presupuesto Ingresos'!N49)</f>
        <v>0</v>
      </c>
      <c r="E13" s="96">
        <f>SUM(C13-D13)</f>
        <v>0</v>
      </c>
      <c r="F13" s="108"/>
    </row>
    <row r="14" spans="1:6">
      <c r="A14" s="107"/>
      <c r="B14" s="250"/>
      <c r="C14" s="24"/>
      <c r="D14" s="24"/>
      <c r="E14" s="24"/>
      <c r="F14" s="108"/>
    </row>
    <row r="15" spans="1:6">
      <c r="A15" s="107" t="s">
        <v>189</v>
      </c>
      <c r="B15" s="250">
        <f>VLOOKUP($A15,[1]Aprovechamientos!$A$10:$I$22,7,0)</f>
        <v>0</v>
      </c>
      <c r="C15" s="96">
        <f>SUM('Ingresos Reales'!N50)</f>
        <v>0</v>
      </c>
      <c r="D15" s="24">
        <f>SUM('Presupuesto Ingresos'!N50)</f>
        <v>0</v>
      </c>
      <c r="E15" s="96">
        <f>SUM(C15-D15)</f>
        <v>0</v>
      </c>
      <c r="F15" s="108"/>
    </row>
    <row r="16" spans="1:6">
      <c r="A16" s="107"/>
      <c r="B16" s="250"/>
      <c r="C16" s="24"/>
      <c r="D16" s="24"/>
      <c r="E16" s="24"/>
      <c r="F16" s="108"/>
    </row>
    <row r="17" spans="1:6">
      <c r="A17" s="107" t="s">
        <v>33</v>
      </c>
      <c r="B17" s="250">
        <f>VLOOKUP($A17,[1]Aprovechamientos!$A$10:$I$22,7,0)</f>
        <v>0</v>
      </c>
      <c r="C17" s="96">
        <f>SUM('Ingresos Reales'!N51)</f>
        <v>0</v>
      </c>
      <c r="D17" s="24">
        <f>SUM('Presupuesto Ingresos'!N51)</f>
        <v>0</v>
      </c>
      <c r="E17" s="96">
        <f>SUM(C17-D17)</f>
        <v>0</v>
      </c>
      <c r="F17" s="108"/>
    </row>
    <row r="18" spans="1:6">
      <c r="A18" s="107"/>
      <c r="B18" s="250"/>
      <c r="C18" s="24"/>
      <c r="D18" s="45"/>
      <c r="E18" s="24"/>
      <c r="F18" s="108"/>
    </row>
    <row r="19" spans="1:6">
      <c r="A19" s="107" t="s">
        <v>28</v>
      </c>
      <c r="B19" s="250">
        <f>VLOOKUP($A19,[1]Aprovechamientos!$A$10:$I$22,7,0)</f>
        <v>935017.69</v>
      </c>
      <c r="C19" s="96">
        <f>SUM('Ingresos Reales'!N52)</f>
        <v>3222806.25</v>
      </c>
      <c r="D19" s="24">
        <f>SUM('Presupuesto Ingresos'!N52)</f>
        <v>940000</v>
      </c>
      <c r="E19" s="96">
        <f>SUM(C19-D19)</f>
        <v>2282806.25</v>
      </c>
      <c r="F19" s="108"/>
    </row>
    <row r="20" spans="1:6">
      <c r="A20" s="107"/>
      <c r="B20" s="250"/>
      <c r="C20" s="96"/>
      <c r="D20" s="24"/>
      <c r="E20" s="96"/>
      <c r="F20" s="108"/>
    </row>
    <row r="21" spans="1:6">
      <c r="A21" s="107" t="s">
        <v>150</v>
      </c>
      <c r="B21" s="250">
        <f>VLOOKUP($A21,[1]Aprovechamientos!$A$10:$I$22,7,0)</f>
        <v>4002219.1</v>
      </c>
      <c r="C21" s="96">
        <f>SUM('Ingresos Reales'!N53)</f>
        <v>3289997.7199999997</v>
      </c>
      <c r="D21" s="24">
        <f>SUM('Presupuesto Ingresos'!N53)</f>
        <v>3578000</v>
      </c>
      <c r="E21" s="96">
        <f>SUM(C21-D21)</f>
        <v>-288002.28000000026</v>
      </c>
      <c r="F21" s="108"/>
    </row>
    <row r="22" spans="1:6">
      <c r="A22" s="109"/>
      <c r="B22" s="25"/>
      <c r="C22" s="25"/>
      <c r="D22" s="25"/>
      <c r="E22" s="25"/>
      <c r="F22" s="108"/>
    </row>
    <row r="23" spans="1:6">
      <c r="A23" s="103"/>
      <c r="B23" s="14"/>
      <c r="C23" s="111"/>
      <c r="D23" s="14"/>
      <c r="E23" s="111"/>
      <c r="F23" s="108"/>
    </row>
    <row r="24" spans="1:6" ht="27" customHeight="1">
      <c r="A24" s="436" t="s">
        <v>4</v>
      </c>
      <c r="B24" s="437">
        <f>SUM(B8:B22)</f>
        <v>52004831.759999998</v>
      </c>
      <c r="C24" s="437">
        <f>SUM(C8:C22)</f>
        <v>74663731.310000002</v>
      </c>
      <c r="D24" s="437">
        <f>SUM(D8:D22)</f>
        <v>44936000</v>
      </c>
      <c r="E24" s="437">
        <f>SUM(E8:E22)</f>
        <v>29727731.309999995</v>
      </c>
      <c r="F24" s="446"/>
    </row>
    <row r="25" spans="1:6" ht="13.5" thickBot="1">
      <c r="A25" s="113"/>
      <c r="B25" s="114"/>
      <c r="C25" s="114"/>
      <c r="D25" s="114"/>
      <c r="E25" s="114"/>
      <c r="F25" s="267"/>
    </row>
    <row r="26" spans="1:6">
      <c r="A26" s="103"/>
      <c r="B26" s="14"/>
      <c r="C26" s="14"/>
      <c r="D26" s="14"/>
      <c r="E26" s="14"/>
      <c r="F26" s="104"/>
    </row>
    <row r="27" spans="1:6">
      <c r="A27" s="103"/>
      <c r="B27" s="14"/>
      <c r="C27" s="14"/>
      <c r="D27" s="14"/>
      <c r="E27" s="14"/>
      <c r="F27" s="104"/>
    </row>
    <row r="28" spans="1:6">
      <c r="A28" s="103"/>
      <c r="B28" s="14"/>
      <c r="C28" s="14"/>
      <c r="D28" s="14"/>
      <c r="E28" s="14"/>
      <c r="F28" s="104"/>
    </row>
    <row r="29" spans="1:6">
      <c r="A29" s="103"/>
      <c r="B29" s="14"/>
      <c r="C29" s="14"/>
      <c r="D29" s="14"/>
      <c r="E29" s="14"/>
      <c r="F29" s="104"/>
    </row>
    <row r="30" spans="1:6">
      <c r="A30" s="103"/>
      <c r="B30" s="14"/>
      <c r="C30" s="14"/>
      <c r="D30" s="14"/>
      <c r="E30" s="14"/>
      <c r="F30" s="104"/>
    </row>
    <row r="31" spans="1:6">
      <c r="A31" s="103"/>
      <c r="B31" s="14"/>
      <c r="C31" s="14"/>
      <c r="D31" s="14"/>
      <c r="E31" s="14"/>
      <c r="F31" s="104"/>
    </row>
    <row r="32" spans="1:6">
      <c r="A32" s="103"/>
      <c r="B32" s="14"/>
      <c r="C32" s="14"/>
      <c r="D32" s="14"/>
      <c r="E32" s="14"/>
      <c r="F32" s="104"/>
    </row>
    <row r="33" spans="1:6">
      <c r="A33" s="103"/>
      <c r="B33" s="14"/>
      <c r="C33" s="14"/>
      <c r="D33" s="14"/>
      <c r="E33" s="14"/>
      <c r="F33" s="104"/>
    </row>
    <row r="34" spans="1:6">
      <c r="A34" s="103"/>
      <c r="B34" s="14"/>
      <c r="C34" s="14"/>
      <c r="D34" s="14"/>
      <c r="E34" s="14"/>
      <c r="F34" s="104"/>
    </row>
    <row r="35" spans="1:6">
      <c r="A35" s="103"/>
      <c r="B35" s="14"/>
      <c r="C35" s="14"/>
      <c r="D35" s="14"/>
      <c r="E35" s="14"/>
      <c r="F35" s="104"/>
    </row>
    <row r="36" spans="1:6">
      <c r="A36" s="103"/>
      <c r="B36" s="14"/>
      <c r="C36" s="14"/>
      <c r="D36" s="14"/>
      <c r="E36" s="14"/>
      <c r="F36" s="104"/>
    </row>
    <row r="37" spans="1:6">
      <c r="A37" s="103"/>
      <c r="B37" s="14"/>
      <c r="C37" s="14"/>
      <c r="D37" s="14"/>
      <c r="E37" s="14"/>
      <c r="F37" s="104"/>
    </row>
    <row r="38" spans="1:6">
      <c r="A38" s="103"/>
      <c r="B38" s="14"/>
      <c r="C38" s="14"/>
      <c r="D38" s="14"/>
      <c r="E38" s="14"/>
      <c r="F38" s="104"/>
    </row>
    <row r="39" spans="1:6">
      <c r="A39" s="103"/>
      <c r="B39" s="14"/>
      <c r="C39" s="14"/>
      <c r="D39" s="14"/>
      <c r="E39" s="14"/>
      <c r="F39" s="104"/>
    </row>
    <row r="40" spans="1:6">
      <c r="A40" s="103"/>
      <c r="B40" s="14"/>
      <c r="C40" s="14"/>
      <c r="D40" s="14"/>
      <c r="E40" s="14"/>
      <c r="F40" s="104"/>
    </row>
    <row r="41" spans="1:6">
      <c r="A41" s="103"/>
      <c r="B41" s="14"/>
      <c r="C41" s="14"/>
      <c r="D41" s="14"/>
      <c r="E41" s="14"/>
      <c r="F41" s="104"/>
    </row>
    <row r="42" spans="1:6">
      <c r="A42" s="103"/>
      <c r="B42" s="14"/>
      <c r="C42" s="14"/>
      <c r="D42" s="14"/>
      <c r="E42" s="14"/>
      <c r="F42" s="104"/>
    </row>
    <row r="43" spans="1:6">
      <c r="A43" s="103"/>
      <c r="B43" s="14"/>
      <c r="C43" s="14"/>
      <c r="D43" s="14"/>
      <c r="E43" s="14"/>
      <c r="F43" s="104"/>
    </row>
    <row r="44" spans="1:6">
      <c r="A44" s="103"/>
      <c r="B44" s="14"/>
      <c r="C44" s="14"/>
      <c r="D44" s="14"/>
      <c r="E44" s="14"/>
      <c r="F44" s="104"/>
    </row>
    <row r="45" spans="1:6" ht="13.5" thickBot="1">
      <c r="A45" s="113"/>
      <c r="B45" s="114"/>
      <c r="C45" s="114"/>
      <c r="D45" s="114"/>
      <c r="E45" s="114"/>
      <c r="F45" s="115"/>
    </row>
  </sheetData>
  <mergeCells count="4">
    <mergeCell ref="A2:F2"/>
    <mergeCell ref="A3:F3"/>
    <mergeCell ref="B5:C5"/>
    <mergeCell ref="A1:F1"/>
  </mergeCells>
  <phoneticPr fontId="7" type="noConversion"/>
  <printOptions horizontalCentered="1"/>
  <pageMargins left="0.31496062992125984" right="0.39370078740157483" top="0.23622047244094491" bottom="0.15748031496062992" header="0" footer="0"/>
  <pageSetup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A27" sqref="A27:F27"/>
    </sheetView>
  </sheetViews>
  <sheetFormatPr baseColWidth="10" defaultRowHeight="12.75"/>
  <cols>
    <col min="1" max="1" width="37" bestFit="1" customWidth="1"/>
    <col min="2" max="5" width="14.85546875" customWidth="1"/>
    <col min="6" max="6" width="44.140625" customWidth="1"/>
  </cols>
  <sheetData>
    <row r="1" spans="1:6" ht="15.75">
      <c r="A1" s="336" t="s">
        <v>366</v>
      </c>
      <c r="B1" s="336"/>
      <c r="C1" s="336"/>
      <c r="D1" s="336"/>
      <c r="E1" s="336"/>
      <c r="F1" s="336"/>
    </row>
    <row r="2" spans="1:6">
      <c r="A2" s="335" t="s">
        <v>1131</v>
      </c>
      <c r="B2" s="335"/>
      <c r="C2" s="335"/>
      <c r="D2" s="335"/>
      <c r="E2" s="335"/>
      <c r="F2" s="335"/>
    </row>
    <row r="3" spans="1:6">
      <c r="A3" s="335" t="s">
        <v>47</v>
      </c>
      <c r="B3" s="335"/>
      <c r="C3" s="335"/>
      <c r="D3" s="335"/>
      <c r="E3" s="335"/>
      <c r="F3" s="335"/>
    </row>
    <row r="4" spans="1:6" ht="13.5" thickBot="1"/>
    <row r="5" spans="1:6" ht="13.5" thickBot="1">
      <c r="A5" s="438" t="s">
        <v>0</v>
      </c>
      <c r="B5" s="439" t="s">
        <v>208</v>
      </c>
      <c r="C5" s="440"/>
      <c r="D5" s="441" t="s">
        <v>40</v>
      </c>
      <c r="E5" s="441" t="s">
        <v>41</v>
      </c>
      <c r="F5" s="438" t="s">
        <v>238</v>
      </c>
    </row>
    <row r="6" spans="1:6" ht="13.5" thickBot="1">
      <c r="A6" s="442"/>
      <c r="B6" s="443">
        <v>2010</v>
      </c>
      <c r="C6" s="443">
        <v>2011</v>
      </c>
      <c r="D6" s="443">
        <v>2011</v>
      </c>
      <c r="E6" s="443"/>
      <c r="F6" s="444"/>
    </row>
    <row r="7" spans="1:6" ht="13.5" thickBot="1"/>
    <row r="8" spans="1:6">
      <c r="A8" s="260"/>
      <c r="B8" s="209"/>
      <c r="C8" s="116"/>
      <c r="D8" s="209"/>
      <c r="E8" s="116"/>
      <c r="F8" s="263"/>
    </row>
    <row r="9" spans="1:6">
      <c r="A9" s="107" t="s">
        <v>36</v>
      </c>
      <c r="B9" s="250">
        <f>VLOOKUP($A9,[1]Participaciones!$A$10:$I$26,7,0)</f>
        <v>197237652</v>
      </c>
      <c r="C9" s="96">
        <f>SUM('Ingresos Reales'!N56)</f>
        <v>292100725.71000004</v>
      </c>
      <c r="D9" s="155">
        <f>SUM('Presupuesto Ingresos'!N56)</f>
        <v>223434519</v>
      </c>
      <c r="E9" s="96">
        <f>SUM(C9-D9)</f>
        <v>68666206.710000038</v>
      </c>
      <c r="F9" s="108"/>
    </row>
    <row r="10" spans="1:6">
      <c r="A10" s="107"/>
      <c r="B10" s="250"/>
      <c r="C10" s="24"/>
      <c r="D10" s="155"/>
      <c r="E10" s="24"/>
      <c r="F10" s="108"/>
    </row>
    <row r="11" spans="1:6">
      <c r="A11" s="107" t="s">
        <v>37</v>
      </c>
      <c r="B11" s="250">
        <f>VLOOKUP($A11,[1]Participaciones!$A$10:$I$26,7,0)</f>
        <v>17878916</v>
      </c>
      <c r="C11" s="96">
        <f>SUM('Ingresos Reales'!N57)</f>
        <v>28896023</v>
      </c>
      <c r="D11" s="155">
        <f>SUM('Presupuesto Ingresos'!N57)</f>
        <v>18389000</v>
      </c>
      <c r="E11" s="96">
        <f>SUM(C11-D11)</f>
        <v>10507023</v>
      </c>
      <c r="F11" s="108"/>
    </row>
    <row r="12" spans="1:6">
      <c r="A12" s="107"/>
      <c r="B12" s="250"/>
      <c r="C12" s="24"/>
      <c r="D12" s="155"/>
      <c r="E12" s="24"/>
      <c r="F12" s="108"/>
    </row>
    <row r="13" spans="1:6">
      <c r="A13" s="107" t="s">
        <v>164</v>
      </c>
      <c r="B13" s="250">
        <f>VLOOKUP($A13,[1]Participaciones!$A$10:$I$26,7,0)</f>
        <v>0</v>
      </c>
      <c r="C13" s="96">
        <f>SUM('Ingresos Reales'!N58)</f>
        <v>0</v>
      </c>
      <c r="D13" s="155">
        <f>SUM('Presupuesto Ingresos'!N58)</f>
        <v>0</v>
      </c>
      <c r="E13" s="96">
        <f>SUM(C13-D13)</f>
        <v>0</v>
      </c>
      <c r="F13" s="108"/>
    </row>
    <row r="14" spans="1:6">
      <c r="A14" s="107"/>
      <c r="B14" s="250"/>
      <c r="C14" s="24"/>
      <c r="D14" s="155"/>
      <c r="E14" s="96"/>
      <c r="F14" s="108"/>
    </row>
    <row r="15" spans="1:6">
      <c r="A15" s="107" t="s">
        <v>34</v>
      </c>
      <c r="B15" s="250">
        <f>VLOOKUP($A15,[1]Participaciones!$A$10:$I$26,7,0)</f>
        <v>18445169</v>
      </c>
      <c r="C15" s="96">
        <f>SUM('Ingresos Reales'!N59)</f>
        <v>29088080</v>
      </c>
      <c r="D15" s="155">
        <f>SUM('Presupuesto Ingresos'!N59)</f>
        <v>32943072</v>
      </c>
      <c r="E15" s="96">
        <f>SUM(C15-D15)</f>
        <v>-3854992</v>
      </c>
      <c r="F15" s="108"/>
    </row>
    <row r="16" spans="1:6">
      <c r="A16" s="107"/>
      <c r="B16" s="250"/>
      <c r="C16" s="24"/>
      <c r="D16" s="155"/>
      <c r="E16" s="24"/>
      <c r="F16" s="108"/>
    </row>
    <row r="17" spans="1:6">
      <c r="A17" s="107" t="s">
        <v>165</v>
      </c>
      <c r="B17" s="250">
        <f>VLOOKUP($A17,[1]Participaciones!$A$10:$I$26,7,0)</f>
        <v>1126270</v>
      </c>
      <c r="C17" s="96">
        <f>SUM('Ingresos Reales'!N60)</f>
        <v>0</v>
      </c>
      <c r="D17" s="155">
        <f>SUM('Presupuesto Ingresos'!N60)</f>
        <v>1177000</v>
      </c>
      <c r="E17" s="96">
        <f>SUM(C17-D17)</f>
        <v>-1177000</v>
      </c>
      <c r="F17" s="108"/>
    </row>
    <row r="18" spans="1:6">
      <c r="A18" s="107"/>
      <c r="B18" s="250"/>
      <c r="C18" s="24"/>
      <c r="D18" s="155"/>
      <c r="E18" s="24"/>
      <c r="F18" s="108"/>
    </row>
    <row r="19" spans="1:6">
      <c r="A19" s="107" t="s">
        <v>151</v>
      </c>
      <c r="B19" s="250">
        <f>VLOOKUP($A19,[1]Participaciones!$A$10:$I$26,7,0)</f>
        <v>4840054</v>
      </c>
      <c r="C19" s="96">
        <f>SUM('Ingresos Reales'!N61)</f>
        <v>4199950</v>
      </c>
      <c r="D19" s="155">
        <f>SUM('Presupuesto Ingresos'!N61)</f>
        <v>4823000</v>
      </c>
      <c r="E19" s="96">
        <f>SUM(C19-D19)</f>
        <v>-623050</v>
      </c>
      <c r="F19" s="108"/>
    </row>
    <row r="20" spans="1:6">
      <c r="A20" s="107"/>
      <c r="B20" s="250"/>
      <c r="C20" s="96"/>
      <c r="D20" s="155"/>
      <c r="E20" s="96"/>
      <c r="F20" s="108"/>
    </row>
    <row r="21" spans="1:6">
      <c r="A21" s="107" t="s">
        <v>166</v>
      </c>
      <c r="B21" s="250">
        <f>VLOOKUP($A21,[1]Participaciones!$A$10:$I$26,7,0)</f>
        <v>7130470</v>
      </c>
      <c r="C21" s="96">
        <f>SUM('Ingresos Reales'!N62)</f>
        <v>8864035</v>
      </c>
      <c r="D21" s="155">
        <f>SUM('Presupuesto Ingresos'!N62)</f>
        <v>7039000</v>
      </c>
      <c r="E21" s="96">
        <f>SUM(C21-D21)</f>
        <v>1825035</v>
      </c>
      <c r="F21" s="108"/>
    </row>
    <row r="22" spans="1:6">
      <c r="A22" s="107"/>
      <c r="B22" s="250"/>
      <c r="C22" s="96"/>
      <c r="D22" s="155"/>
      <c r="E22" s="96"/>
      <c r="F22" s="108"/>
    </row>
    <row r="23" spans="1:6">
      <c r="A23" s="107" t="s">
        <v>446</v>
      </c>
      <c r="B23" s="250">
        <f>VLOOKUP($A23,[1]Participaciones!$A$10:$I$26,7,0)</f>
        <v>8906237</v>
      </c>
      <c r="C23" s="96">
        <f>SUM('Ingresos Reales'!N63)</f>
        <v>12097061</v>
      </c>
      <c r="D23" s="155">
        <f>SUM('Presupuesto Ingresos'!N63)</f>
        <v>9325000</v>
      </c>
      <c r="E23" s="96">
        <f>SUM(C23-D23)</f>
        <v>2772061</v>
      </c>
      <c r="F23" s="108"/>
    </row>
    <row r="24" spans="1:6">
      <c r="A24" s="107"/>
      <c r="B24" s="250"/>
      <c r="C24" s="96"/>
      <c r="D24" s="155"/>
      <c r="E24" s="96"/>
      <c r="F24" s="108"/>
    </row>
    <row r="25" spans="1:6">
      <c r="A25" s="107" t="s">
        <v>454</v>
      </c>
      <c r="B25" s="250">
        <f>VLOOKUP($A25,[1]Participaciones!$A$10:$I$26,7,0)</f>
        <v>17566980</v>
      </c>
      <c r="C25" s="96">
        <f>SUM('Ingresos Reales'!N64)</f>
        <v>18144713</v>
      </c>
      <c r="D25" s="155">
        <f>SUM('Presupuesto Ingresos'!N64)</f>
        <v>16868000</v>
      </c>
      <c r="E25" s="96">
        <f>SUM(C25-D25)</f>
        <v>1276713</v>
      </c>
      <c r="F25" s="108"/>
    </row>
    <row r="26" spans="1:6" ht="13.5" thickBot="1">
      <c r="A26" s="107"/>
      <c r="B26" s="45"/>
      <c r="C26" s="9"/>
      <c r="D26" s="45"/>
      <c r="E26" s="9"/>
      <c r="F26" s="108"/>
    </row>
    <row r="27" spans="1:6" ht="25.5" customHeight="1" thickBot="1">
      <c r="A27" s="426" t="s">
        <v>4</v>
      </c>
      <c r="B27" s="427">
        <f>SUM(B8:B25)</f>
        <v>273131748</v>
      </c>
      <c r="C27" s="427">
        <f>SUM(C8:C25)</f>
        <v>393390587.71000004</v>
      </c>
      <c r="D27" s="427">
        <f>SUM(D8:D25)</f>
        <v>313998591</v>
      </c>
      <c r="E27" s="427">
        <f>SUM(E8:E25)</f>
        <v>79391996.710000038</v>
      </c>
      <c r="F27" s="457"/>
    </row>
    <row r="28" spans="1:6">
      <c r="A28" s="103"/>
      <c r="B28" s="14"/>
      <c r="C28" s="14"/>
      <c r="D28" s="14"/>
      <c r="E28" s="14"/>
      <c r="F28" s="108"/>
    </row>
    <row r="29" spans="1:6">
      <c r="A29" s="112"/>
      <c r="B29" s="12"/>
      <c r="C29" s="12"/>
      <c r="D29" s="12"/>
      <c r="E29" s="12"/>
      <c r="F29" s="104"/>
    </row>
    <row r="30" spans="1:6">
      <c r="A30" s="103"/>
      <c r="B30" s="14"/>
      <c r="C30" s="14"/>
      <c r="D30" s="14"/>
      <c r="E30" s="14"/>
      <c r="F30" s="104"/>
    </row>
    <row r="31" spans="1:6">
      <c r="A31" s="103"/>
      <c r="B31" s="14"/>
      <c r="C31" s="14"/>
      <c r="D31" s="14"/>
      <c r="E31" s="14"/>
      <c r="F31" s="104"/>
    </row>
    <row r="32" spans="1:6">
      <c r="A32" s="103"/>
      <c r="B32" s="14"/>
      <c r="C32" s="14"/>
      <c r="D32" s="14"/>
      <c r="E32" s="14"/>
      <c r="F32" s="104"/>
    </row>
    <row r="33" spans="1:6">
      <c r="A33" s="103"/>
      <c r="B33" s="14"/>
      <c r="C33" s="14"/>
      <c r="D33" s="14"/>
      <c r="E33" s="14"/>
      <c r="F33" s="104"/>
    </row>
    <row r="34" spans="1:6">
      <c r="A34" s="103"/>
      <c r="B34" s="14"/>
      <c r="C34" s="14"/>
      <c r="D34" s="14"/>
      <c r="E34" s="14"/>
      <c r="F34" s="104"/>
    </row>
    <row r="35" spans="1:6">
      <c r="A35" s="103"/>
      <c r="B35" s="14"/>
      <c r="C35" s="14"/>
      <c r="D35" s="14"/>
      <c r="E35" s="14"/>
      <c r="F35" s="104"/>
    </row>
    <row r="36" spans="1:6">
      <c r="A36" s="103"/>
      <c r="B36" s="14"/>
      <c r="C36" s="14"/>
      <c r="D36" s="14"/>
      <c r="E36" s="14"/>
      <c r="F36" s="104"/>
    </row>
    <row r="37" spans="1:6">
      <c r="A37" s="103"/>
      <c r="B37" s="14"/>
      <c r="C37" s="14"/>
      <c r="D37" s="14"/>
      <c r="E37" s="14"/>
      <c r="F37" s="104"/>
    </row>
    <row r="38" spans="1:6">
      <c r="A38" s="103"/>
      <c r="B38" s="14"/>
      <c r="C38" s="14"/>
      <c r="D38" s="14"/>
      <c r="E38" s="14"/>
      <c r="F38" s="104"/>
    </row>
    <row r="39" spans="1:6">
      <c r="A39" s="103"/>
      <c r="B39" s="14"/>
      <c r="C39" s="14"/>
      <c r="D39" s="14"/>
      <c r="E39" s="14"/>
      <c r="F39" s="104"/>
    </row>
    <row r="40" spans="1:6">
      <c r="A40" s="103"/>
      <c r="B40" s="14"/>
      <c r="C40" s="14"/>
      <c r="D40" s="14"/>
      <c r="E40" s="14"/>
      <c r="F40" s="104"/>
    </row>
    <row r="41" spans="1:6">
      <c r="A41" s="103"/>
      <c r="B41" s="14"/>
      <c r="C41" s="14"/>
      <c r="D41" s="14"/>
      <c r="E41" s="14"/>
      <c r="F41" s="104"/>
    </row>
    <row r="42" spans="1:6">
      <c r="A42" s="103"/>
      <c r="B42" s="14"/>
      <c r="C42" s="14"/>
      <c r="D42" s="14"/>
      <c r="E42" s="14"/>
      <c r="F42" s="104"/>
    </row>
    <row r="43" spans="1:6">
      <c r="A43" s="103"/>
      <c r="B43" s="14"/>
      <c r="C43" s="14"/>
      <c r="D43" s="14"/>
      <c r="E43" s="14"/>
      <c r="F43" s="104"/>
    </row>
    <row r="44" spans="1:6">
      <c r="A44" s="103"/>
      <c r="B44" s="14"/>
      <c r="C44" s="14"/>
      <c r="D44" s="14"/>
      <c r="E44" s="14"/>
      <c r="F44" s="104"/>
    </row>
    <row r="45" spans="1:6">
      <c r="A45" s="103"/>
      <c r="B45" s="14"/>
      <c r="C45" s="14"/>
      <c r="D45" s="14"/>
      <c r="E45" s="14"/>
      <c r="F45" s="104"/>
    </row>
    <row r="46" spans="1:6">
      <c r="A46" s="103"/>
      <c r="B46" s="14"/>
      <c r="C46" s="14"/>
      <c r="D46" s="14"/>
      <c r="E46" s="14"/>
      <c r="F46" s="104"/>
    </row>
    <row r="47" spans="1:6">
      <c r="A47" s="103"/>
      <c r="B47" s="14"/>
      <c r="C47" s="14"/>
      <c r="D47" s="14"/>
      <c r="E47" s="14"/>
      <c r="F47" s="104"/>
    </row>
    <row r="48" spans="1:6" ht="13.5" thickBot="1">
      <c r="A48" s="113"/>
      <c r="B48" s="114"/>
      <c r="C48" s="114"/>
      <c r="D48" s="114"/>
      <c r="E48" s="114"/>
      <c r="F48" s="115"/>
    </row>
  </sheetData>
  <mergeCells count="4">
    <mergeCell ref="A2:F2"/>
    <mergeCell ref="A3:F3"/>
    <mergeCell ref="B5:C5"/>
    <mergeCell ref="A1:F1"/>
  </mergeCells>
  <phoneticPr fontId="7" type="noConversion"/>
  <printOptions horizontalCentered="1"/>
  <pageMargins left="0.39370078740157483" right="0.39370078740157483" top="0.27559055118110237" bottom="0.19685039370078741" header="0" footer="0"/>
  <pageSetup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43</vt:i4>
      </vt:variant>
      <vt:variant>
        <vt:lpstr>Rangos con nombre</vt:lpstr>
      </vt:variant>
      <vt:variant>
        <vt:i4>18</vt:i4>
      </vt:variant>
    </vt:vector>
  </HeadingPairs>
  <TitlesOfParts>
    <vt:vector size="61" baseType="lpstr">
      <vt:lpstr>Presupuesto Ingresos</vt:lpstr>
      <vt:lpstr>Ingresos Reales</vt:lpstr>
      <vt:lpstr>Analisis Ingr.</vt:lpstr>
      <vt:lpstr>Impuestos</vt:lpstr>
      <vt:lpstr>Derechos</vt:lpstr>
      <vt:lpstr>Contribuciones</vt:lpstr>
      <vt:lpstr>Productos</vt:lpstr>
      <vt:lpstr>Aprovechamientos</vt:lpstr>
      <vt:lpstr>Participaciones</vt:lpstr>
      <vt:lpstr>FISM</vt:lpstr>
      <vt:lpstr>FFM</vt:lpstr>
      <vt:lpstr>F. Desc.</vt:lpstr>
      <vt:lpstr>Otras Aport.</vt:lpstr>
      <vt:lpstr>Vecinos</vt:lpstr>
      <vt:lpstr>Financiamientos</vt:lpstr>
      <vt:lpstr>Otros</vt:lpstr>
      <vt:lpstr>Presupuesto Egresos</vt:lpstr>
      <vt:lpstr>Egresos Reales</vt:lpstr>
      <vt:lpstr>Modificaciones</vt:lpstr>
      <vt:lpstr>Análisis Egresos</vt:lpstr>
      <vt:lpstr>Admón Púb.</vt:lpstr>
      <vt:lpstr>Serv. Com.</vt:lpstr>
      <vt:lpstr>Des. Soc</vt:lpstr>
      <vt:lpstr>Mtto.</vt:lpstr>
      <vt:lpstr>Adquisiciones</vt:lpstr>
      <vt:lpstr>Des. Urb</vt:lpstr>
      <vt:lpstr>FISM Egresos</vt:lpstr>
      <vt:lpstr>FAFM Egresos </vt:lpstr>
      <vt:lpstr>Obligaciones Financieras</vt:lpstr>
      <vt:lpstr>Otros Egresos</vt:lpstr>
      <vt:lpstr>Ing y Egr</vt:lpstr>
      <vt:lpstr>Análisis Disp.</vt:lpstr>
      <vt:lpstr>Hoja1</vt:lpstr>
      <vt:lpstr>Disp. Fondos Fijos</vt:lpstr>
      <vt:lpstr>Disp. Ctas. Banc</vt:lpstr>
      <vt:lpstr>Disp. Ctas. por Cobrar</vt:lpstr>
      <vt:lpstr>Disp. Ctas. por Pagar</vt:lpstr>
      <vt:lpstr>Resumen CXC</vt:lpstr>
      <vt:lpstr>DEUDA</vt:lpstr>
      <vt:lpstr>INV. B.M.</vt:lpstr>
      <vt:lpstr>INV B.I.</vt:lpstr>
      <vt:lpstr>DES</vt:lpstr>
      <vt:lpstr>Hoja3</vt:lpstr>
      <vt:lpstr>'Análisis Egresos'!Área_de_impresión</vt:lpstr>
      <vt:lpstr>'Analisis Ingr.'!Área_de_impresión</vt:lpstr>
      <vt:lpstr>Derechos!Área_de_impresión</vt:lpstr>
      <vt:lpstr>DEUDA!Área_de_impresión</vt:lpstr>
      <vt:lpstr>'Disp. Fondos Fijos'!Área_de_impresión</vt:lpstr>
      <vt:lpstr>Impuestos!Área_de_impresión</vt:lpstr>
      <vt:lpstr>'Ingresos Reales'!Área_de_impresión</vt:lpstr>
      <vt:lpstr>'Presupuesto Egresos'!Área_de_impresión</vt:lpstr>
      <vt:lpstr>'Presupuesto Ingresos'!Área_de_impresión</vt:lpstr>
      <vt:lpstr>Productos!Área_de_impresión</vt:lpstr>
      <vt:lpstr>'Disp. Ctas. Banc'!Títulos_a_imprimir</vt:lpstr>
      <vt:lpstr>'Disp. Fondos Fijos'!Títulos_a_imprimir</vt:lpstr>
      <vt:lpstr>'Egresos Reales'!Títulos_a_imprimir</vt:lpstr>
      <vt:lpstr>'Ing y Egr'!Títulos_a_imprimir</vt:lpstr>
      <vt:lpstr>'Ingresos Reales'!Títulos_a_imprimir</vt:lpstr>
      <vt:lpstr>'Otros Egresos'!Títulos_a_imprimir</vt:lpstr>
      <vt:lpstr>'Presupuesto Egresos'!Títulos_a_imprimir</vt:lpstr>
      <vt:lpstr>'Presupuesto Ingresos'!Títulos_a_imprimir</vt:lpstr>
    </vt:vector>
  </TitlesOfParts>
  <Company>Gobierno del Estado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 Pública</dc:title>
  <dc:subject>Formatos Sugeridos</dc:subject>
  <dc:creator>Rubén Omar Cantú Menchaca</dc:creator>
  <cp:lastModifiedBy>Direccion de Transparencia y At'n. Ciudadana</cp:lastModifiedBy>
  <cp:lastPrinted>2012-08-24T23:08:38Z</cp:lastPrinted>
  <dcterms:created xsi:type="dcterms:W3CDTF">2000-02-14T21:44:41Z</dcterms:created>
  <dcterms:modified xsi:type="dcterms:W3CDTF">2012-08-24T23:10:26Z</dcterms:modified>
</cp:coreProperties>
</file>